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ty" sheetId="2" r:id="rId5"/>
    <sheet state="visible" name="jjsf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IFERROR(__xludf.DUMMYFUNCTION("GOOGLEFINANCE(""NASDAQ:caty"",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IFERROR(__xludf.DUMMYFUNCTION("""COMPUTED_VALUE"""),7.66)</f>
        <v>7.66</v>
      </c>
      <c r="C2" s="1">
        <f>IFERROR(__xludf.DUMMYFUNCTION("""COMPUTED_VALUE"""),8.2)</f>
        <v>8.2</v>
      </c>
      <c r="D2" s="1">
        <f>IFERROR(__xludf.DUMMYFUNCTION("""COMPUTED_VALUE"""),7.61)</f>
        <v>7.61</v>
      </c>
      <c r="E2" s="1">
        <f>IFERROR(__xludf.DUMMYFUNCTION("""COMPUTED_VALUE"""),8.2)</f>
        <v>8.2</v>
      </c>
      <c r="F2" s="1">
        <f>IFERROR(__xludf.DUMMYFUNCTION("""COMPUTED_VALUE"""),1323323.0)</f>
        <v>1323323</v>
      </c>
    </row>
    <row r="3">
      <c r="A3" s="2">
        <f>IFERROR(__xludf.DUMMYFUNCTION("""COMPUTED_VALUE"""),40183.666666666664)</f>
        <v>40183.66667</v>
      </c>
      <c r="B3" s="1">
        <f>IFERROR(__xludf.DUMMYFUNCTION("""COMPUTED_VALUE"""),8.16)</f>
        <v>8.16</v>
      </c>
      <c r="C3" s="1">
        <f>IFERROR(__xludf.DUMMYFUNCTION("""COMPUTED_VALUE"""),8.32)</f>
        <v>8.32</v>
      </c>
      <c r="D3" s="1">
        <f>IFERROR(__xludf.DUMMYFUNCTION("""COMPUTED_VALUE"""),8.07)</f>
        <v>8.07</v>
      </c>
      <c r="E3" s="1">
        <f>IFERROR(__xludf.DUMMYFUNCTION("""COMPUTED_VALUE"""),8.26)</f>
        <v>8.26</v>
      </c>
      <c r="F3" s="1">
        <f>IFERROR(__xludf.DUMMYFUNCTION("""COMPUTED_VALUE"""),1236350.0)</f>
        <v>1236350</v>
      </c>
    </row>
    <row r="4">
      <c r="A4" s="2">
        <f>IFERROR(__xludf.DUMMYFUNCTION("""COMPUTED_VALUE"""),40184.666666666664)</f>
        <v>40184.66667</v>
      </c>
      <c r="B4" s="1">
        <f>IFERROR(__xludf.DUMMYFUNCTION("""COMPUTED_VALUE"""),8.17)</f>
        <v>8.17</v>
      </c>
      <c r="C4" s="1">
        <f>IFERROR(__xludf.DUMMYFUNCTION("""COMPUTED_VALUE"""),8.44)</f>
        <v>8.44</v>
      </c>
      <c r="D4" s="1">
        <f>IFERROR(__xludf.DUMMYFUNCTION("""COMPUTED_VALUE"""),8.11)</f>
        <v>8.11</v>
      </c>
      <c r="E4" s="1">
        <f>IFERROR(__xludf.DUMMYFUNCTION("""COMPUTED_VALUE"""),8.42)</f>
        <v>8.42</v>
      </c>
      <c r="F4" s="1">
        <f>IFERROR(__xludf.DUMMYFUNCTION("""COMPUTED_VALUE"""),800577.0)</f>
        <v>800577</v>
      </c>
    </row>
    <row r="5">
      <c r="A5" s="2">
        <f>IFERROR(__xludf.DUMMYFUNCTION("""COMPUTED_VALUE"""),40185.666666666664)</f>
        <v>40185.66667</v>
      </c>
      <c r="B5" s="1">
        <f>IFERROR(__xludf.DUMMYFUNCTION("""COMPUTED_VALUE"""),8.42)</f>
        <v>8.42</v>
      </c>
      <c r="C5" s="1">
        <f>IFERROR(__xludf.DUMMYFUNCTION("""COMPUTED_VALUE"""),8.99)</f>
        <v>8.99</v>
      </c>
      <c r="D5" s="1">
        <f>IFERROR(__xludf.DUMMYFUNCTION("""COMPUTED_VALUE"""),8.37)</f>
        <v>8.37</v>
      </c>
      <c r="E5" s="1">
        <f>IFERROR(__xludf.DUMMYFUNCTION("""COMPUTED_VALUE"""),8.88)</f>
        <v>8.88</v>
      </c>
      <c r="F5" s="1">
        <f>IFERROR(__xludf.DUMMYFUNCTION("""COMPUTED_VALUE"""),1331850.0)</f>
        <v>1331850</v>
      </c>
    </row>
    <row r="6">
      <c r="A6" s="2">
        <f>IFERROR(__xludf.DUMMYFUNCTION("""COMPUTED_VALUE"""),40186.666666666664)</f>
        <v>40186.66667</v>
      </c>
      <c r="B6" s="1">
        <f>IFERROR(__xludf.DUMMYFUNCTION("""COMPUTED_VALUE"""),8.8)</f>
        <v>8.8</v>
      </c>
      <c r="C6" s="1">
        <f>IFERROR(__xludf.DUMMYFUNCTION("""COMPUTED_VALUE"""),9.2)</f>
        <v>9.2</v>
      </c>
      <c r="D6" s="1">
        <f>IFERROR(__xludf.DUMMYFUNCTION("""COMPUTED_VALUE"""),8.79)</f>
        <v>8.79</v>
      </c>
      <c r="E6" s="1">
        <f>IFERROR(__xludf.DUMMYFUNCTION("""COMPUTED_VALUE"""),9.2)</f>
        <v>9.2</v>
      </c>
      <c r="F6" s="1">
        <f>IFERROR(__xludf.DUMMYFUNCTION("""COMPUTED_VALUE"""),1069596.0)</f>
        <v>1069596</v>
      </c>
    </row>
    <row r="7">
      <c r="A7" s="2">
        <f>IFERROR(__xludf.DUMMYFUNCTION("""COMPUTED_VALUE"""),40189.666666666664)</f>
        <v>40189.66667</v>
      </c>
      <c r="B7" s="1">
        <f>IFERROR(__xludf.DUMMYFUNCTION("""COMPUTED_VALUE"""),9.18)</f>
        <v>9.18</v>
      </c>
      <c r="C7" s="1">
        <f>IFERROR(__xludf.DUMMYFUNCTION("""COMPUTED_VALUE"""),9.2)</f>
        <v>9.2</v>
      </c>
      <c r="D7" s="1">
        <f>IFERROR(__xludf.DUMMYFUNCTION("""COMPUTED_VALUE"""),8.91)</f>
        <v>8.91</v>
      </c>
      <c r="E7" s="1">
        <f>IFERROR(__xludf.DUMMYFUNCTION("""COMPUTED_VALUE"""),9.06)</f>
        <v>9.06</v>
      </c>
      <c r="F7" s="1">
        <f>IFERROR(__xludf.DUMMYFUNCTION("""COMPUTED_VALUE"""),933914.0)</f>
        <v>933914</v>
      </c>
    </row>
    <row r="8">
      <c r="A8" s="2">
        <f>IFERROR(__xludf.DUMMYFUNCTION("""COMPUTED_VALUE"""),40190.666666666664)</f>
        <v>40190.66667</v>
      </c>
      <c r="B8" s="1">
        <f>IFERROR(__xludf.DUMMYFUNCTION("""COMPUTED_VALUE"""),8.92)</f>
        <v>8.92</v>
      </c>
      <c r="C8" s="1">
        <f>IFERROR(__xludf.DUMMYFUNCTION("""COMPUTED_VALUE"""),9.08)</f>
        <v>9.08</v>
      </c>
      <c r="D8" s="1">
        <f>IFERROR(__xludf.DUMMYFUNCTION("""COMPUTED_VALUE"""),8.9)</f>
        <v>8.9</v>
      </c>
      <c r="E8" s="1">
        <f>IFERROR(__xludf.DUMMYFUNCTION("""COMPUTED_VALUE"""),9.02)</f>
        <v>9.02</v>
      </c>
      <c r="F8" s="1">
        <f>IFERROR(__xludf.DUMMYFUNCTION("""COMPUTED_VALUE"""),581207.0)</f>
        <v>581207</v>
      </c>
    </row>
    <row r="9">
      <c r="A9" s="2">
        <f>IFERROR(__xludf.DUMMYFUNCTION("""COMPUTED_VALUE"""),40191.666666666664)</f>
        <v>40191.66667</v>
      </c>
      <c r="B9" s="1">
        <f>IFERROR(__xludf.DUMMYFUNCTION("""COMPUTED_VALUE"""),9.02)</f>
        <v>9.02</v>
      </c>
      <c r="C9" s="1">
        <f>IFERROR(__xludf.DUMMYFUNCTION("""COMPUTED_VALUE"""),9.15)</f>
        <v>9.15</v>
      </c>
      <c r="D9" s="1">
        <f>IFERROR(__xludf.DUMMYFUNCTION("""COMPUTED_VALUE"""),8.76)</f>
        <v>8.76</v>
      </c>
      <c r="E9" s="1">
        <f>IFERROR(__xludf.DUMMYFUNCTION("""COMPUTED_VALUE"""),9.11)</f>
        <v>9.11</v>
      </c>
      <c r="F9" s="1">
        <f>IFERROR(__xludf.DUMMYFUNCTION("""COMPUTED_VALUE"""),688164.0)</f>
        <v>688164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IFERROR(__xludf.DUMMYFUNCTION("""COMPUTED_VALUE"""),9.1)</f>
        <v>9.1</v>
      </c>
      <c r="C10" s="1">
        <f>IFERROR(__xludf.DUMMYFUNCTION("""COMPUTED_VALUE"""),9.59)</f>
        <v>9.59</v>
      </c>
      <c r="D10" s="1">
        <f>IFERROR(__xludf.DUMMYFUNCTION("""COMPUTED_VALUE"""),9.0)</f>
        <v>9</v>
      </c>
      <c r="E10" s="1">
        <f>IFERROR(__xludf.DUMMYFUNCTION("""COMPUTED_VALUE"""),9.53)</f>
        <v>9.53</v>
      </c>
      <c r="F10" s="1">
        <f>IFERROR(__xludf.DUMMYFUNCTION("""COMPUTED_VALUE"""),956787.0)</f>
        <v>956787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IFERROR(__xludf.DUMMYFUNCTION("""COMPUTED_VALUE"""),9.45)</f>
        <v>9.45</v>
      </c>
      <c r="C11" s="1">
        <f>IFERROR(__xludf.DUMMYFUNCTION("""COMPUTED_VALUE"""),9.55)</f>
        <v>9.55</v>
      </c>
      <c r="D11" s="1">
        <f>IFERROR(__xludf.DUMMYFUNCTION("""COMPUTED_VALUE"""),9.12)</f>
        <v>9.12</v>
      </c>
      <c r="E11" s="1">
        <f>IFERROR(__xludf.DUMMYFUNCTION("""COMPUTED_VALUE"""),9.47)</f>
        <v>9.47</v>
      </c>
      <c r="F11" s="1">
        <f>IFERROR(__xludf.DUMMYFUNCTION("""COMPUTED_VALUE"""),1165995.0)</f>
        <v>1165995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IFERROR(__xludf.DUMMYFUNCTION("""COMPUTED_VALUE"""),9.4)</f>
        <v>9.4</v>
      </c>
      <c r="C12" s="1">
        <f>IFERROR(__xludf.DUMMYFUNCTION("""COMPUTED_VALUE"""),9.6)</f>
        <v>9.6</v>
      </c>
      <c r="D12" s="1">
        <f>IFERROR(__xludf.DUMMYFUNCTION("""COMPUTED_VALUE"""),9.39)</f>
        <v>9.39</v>
      </c>
      <c r="E12" s="1">
        <f>IFERROR(__xludf.DUMMYFUNCTION("""COMPUTED_VALUE"""),9.6)</f>
        <v>9.6</v>
      </c>
      <c r="F12" s="1">
        <f>IFERROR(__xludf.DUMMYFUNCTION("""COMPUTED_VALUE"""),958403.0)</f>
        <v>958403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IFERROR(__xludf.DUMMYFUNCTION("""COMPUTED_VALUE"""),9.44)</f>
        <v>9.44</v>
      </c>
      <c r="C13" s="1">
        <f>IFERROR(__xludf.DUMMYFUNCTION("""COMPUTED_VALUE"""),9.9)</f>
        <v>9.9</v>
      </c>
      <c r="D13" s="1">
        <f>IFERROR(__xludf.DUMMYFUNCTION("""COMPUTED_VALUE"""),9.32)</f>
        <v>9.32</v>
      </c>
      <c r="E13" s="1">
        <f>IFERROR(__xludf.DUMMYFUNCTION("""COMPUTED_VALUE"""),9.7)</f>
        <v>9.7</v>
      </c>
      <c r="F13" s="1">
        <f>IFERROR(__xludf.DUMMYFUNCTION("""COMPUTED_VALUE"""),1391265.0)</f>
        <v>1391265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IFERROR(__xludf.DUMMYFUNCTION("""COMPUTED_VALUE"""),9.69)</f>
        <v>9.69</v>
      </c>
      <c r="C14" s="1">
        <f>IFERROR(__xludf.DUMMYFUNCTION("""COMPUTED_VALUE"""),10.49)</f>
        <v>10.49</v>
      </c>
      <c r="D14" s="1">
        <f>IFERROR(__xludf.DUMMYFUNCTION("""COMPUTED_VALUE"""),9.61)</f>
        <v>9.61</v>
      </c>
      <c r="E14" s="1">
        <f>IFERROR(__xludf.DUMMYFUNCTION("""COMPUTED_VALUE"""),10.38)</f>
        <v>10.38</v>
      </c>
      <c r="F14" s="1">
        <f>IFERROR(__xludf.DUMMYFUNCTION("""COMPUTED_VALUE"""),2411910.0)</f>
        <v>2411910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IFERROR(__xludf.DUMMYFUNCTION("""COMPUTED_VALUE"""),10.37)</f>
        <v>10.37</v>
      </c>
      <c r="C15" s="1">
        <f>IFERROR(__xludf.DUMMYFUNCTION("""COMPUTED_VALUE"""),10.5)</f>
        <v>10.5</v>
      </c>
      <c r="D15" s="1">
        <f>IFERROR(__xludf.DUMMYFUNCTION("""COMPUTED_VALUE"""),9.79)</f>
        <v>9.79</v>
      </c>
      <c r="E15" s="1">
        <f>IFERROR(__xludf.DUMMYFUNCTION("""COMPUTED_VALUE"""),9.86)</f>
        <v>9.86</v>
      </c>
      <c r="F15" s="1">
        <f>IFERROR(__xludf.DUMMYFUNCTION("""COMPUTED_VALUE"""),1410342.0)</f>
        <v>1410342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IFERROR(__xludf.DUMMYFUNCTION("""COMPUTED_VALUE"""),10.0)</f>
        <v>10</v>
      </c>
      <c r="C16" s="1">
        <f>IFERROR(__xludf.DUMMYFUNCTION("""COMPUTED_VALUE"""),10.12)</f>
        <v>10.12</v>
      </c>
      <c r="D16" s="1">
        <f>IFERROR(__xludf.DUMMYFUNCTION("""COMPUTED_VALUE"""),9.67)</f>
        <v>9.67</v>
      </c>
      <c r="E16" s="1">
        <f>IFERROR(__xludf.DUMMYFUNCTION("""COMPUTED_VALUE"""),9.89)</f>
        <v>9.89</v>
      </c>
      <c r="F16" s="1">
        <f>IFERROR(__xludf.DUMMYFUNCTION("""COMPUTED_VALUE"""),598060.0)</f>
        <v>598060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IFERROR(__xludf.DUMMYFUNCTION("""COMPUTED_VALUE"""),9.9)</f>
        <v>9.9</v>
      </c>
      <c r="C17" s="1">
        <f>IFERROR(__xludf.DUMMYFUNCTION("""COMPUTED_VALUE"""),10.28)</f>
        <v>10.28</v>
      </c>
      <c r="D17" s="1">
        <f>IFERROR(__xludf.DUMMYFUNCTION("""COMPUTED_VALUE"""),9.74)</f>
        <v>9.74</v>
      </c>
      <c r="E17" s="1">
        <f>IFERROR(__xludf.DUMMYFUNCTION("""COMPUTED_VALUE"""),9.84)</f>
        <v>9.84</v>
      </c>
      <c r="F17" s="1">
        <f>IFERROR(__xludf.DUMMYFUNCTION("""COMPUTED_VALUE"""),1006441.0)</f>
        <v>1006441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IFERROR(__xludf.DUMMYFUNCTION("""COMPUTED_VALUE"""),9.99)</f>
        <v>9.99</v>
      </c>
      <c r="C18" s="1">
        <f>IFERROR(__xludf.DUMMYFUNCTION("""COMPUTED_VALUE"""),10.25)</f>
        <v>10.25</v>
      </c>
      <c r="D18" s="1">
        <f>IFERROR(__xludf.DUMMYFUNCTION("""COMPUTED_VALUE"""),9.82)</f>
        <v>9.82</v>
      </c>
      <c r="E18" s="1">
        <f>IFERROR(__xludf.DUMMYFUNCTION("""COMPUTED_VALUE"""),10.19)</f>
        <v>10.19</v>
      </c>
      <c r="F18" s="1">
        <f>IFERROR(__xludf.DUMMYFUNCTION("""COMPUTED_VALUE"""),977734.0)</f>
        <v>977734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IFERROR(__xludf.DUMMYFUNCTION("""COMPUTED_VALUE"""),10.19)</f>
        <v>10.19</v>
      </c>
      <c r="C19" s="1">
        <f>IFERROR(__xludf.DUMMYFUNCTION("""COMPUTED_VALUE"""),10.47)</f>
        <v>10.47</v>
      </c>
      <c r="D19" s="1">
        <f>IFERROR(__xludf.DUMMYFUNCTION("""COMPUTED_VALUE"""),9.99)</f>
        <v>9.99</v>
      </c>
      <c r="E19" s="1">
        <f>IFERROR(__xludf.DUMMYFUNCTION("""COMPUTED_VALUE"""),10.14)</f>
        <v>10.14</v>
      </c>
      <c r="F19" s="1">
        <f>IFERROR(__xludf.DUMMYFUNCTION("""COMPUTED_VALUE"""),851005.0)</f>
        <v>851005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IFERROR(__xludf.DUMMYFUNCTION("""COMPUTED_VALUE"""),9.97)</f>
        <v>9.97</v>
      </c>
      <c r="C20" s="1">
        <f>IFERROR(__xludf.DUMMYFUNCTION("""COMPUTED_VALUE"""),9.99)</f>
        <v>9.99</v>
      </c>
      <c r="D20" s="1">
        <f>IFERROR(__xludf.DUMMYFUNCTION("""COMPUTED_VALUE"""),9.42)</f>
        <v>9.42</v>
      </c>
      <c r="E20" s="1">
        <f>IFERROR(__xludf.DUMMYFUNCTION("""COMPUTED_VALUE"""),9.58)</f>
        <v>9.58</v>
      </c>
      <c r="F20" s="1">
        <f>IFERROR(__xludf.DUMMYFUNCTION("""COMPUTED_VALUE"""),2146259.0)</f>
        <v>2146259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IFERROR(__xludf.DUMMYFUNCTION("""COMPUTED_VALUE"""),9.5)</f>
        <v>9.5</v>
      </c>
      <c r="C21" s="1">
        <f>IFERROR(__xludf.DUMMYFUNCTION("""COMPUTED_VALUE"""),9.6)</f>
        <v>9.6</v>
      </c>
      <c r="D21" s="1">
        <f>IFERROR(__xludf.DUMMYFUNCTION("""COMPUTED_VALUE"""),9.22)</f>
        <v>9.22</v>
      </c>
      <c r="E21" s="1">
        <f>IFERROR(__xludf.DUMMYFUNCTION("""COMPUTED_VALUE"""),9.34)</f>
        <v>9.34</v>
      </c>
      <c r="F21" s="1">
        <f>IFERROR(__xludf.DUMMYFUNCTION("""COMPUTED_VALUE"""),869308.0)</f>
        <v>869308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IFERROR(__xludf.DUMMYFUNCTION("""COMPUTED_VALUE"""),9.74)</f>
        <v>9.74</v>
      </c>
      <c r="C22" s="1">
        <f>IFERROR(__xludf.DUMMYFUNCTION("""COMPUTED_VALUE"""),9.74)</f>
        <v>9.74</v>
      </c>
      <c r="D22" s="1">
        <f>IFERROR(__xludf.DUMMYFUNCTION("""COMPUTED_VALUE"""),9.31)</f>
        <v>9.31</v>
      </c>
      <c r="E22" s="1">
        <f>IFERROR(__xludf.DUMMYFUNCTION("""COMPUTED_VALUE"""),9.56)</f>
        <v>9.56</v>
      </c>
      <c r="F22" s="1">
        <f>IFERROR(__xludf.DUMMYFUNCTION("""COMPUTED_VALUE"""),1.1068755E7)</f>
        <v>11068755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IFERROR(__xludf.DUMMYFUNCTION("""COMPUTED_VALUE"""),9.48)</f>
        <v>9.48</v>
      </c>
      <c r="C23" s="1">
        <f>IFERROR(__xludf.DUMMYFUNCTION("""COMPUTED_VALUE"""),9.61)</f>
        <v>9.61</v>
      </c>
      <c r="D23" s="1">
        <f>IFERROR(__xludf.DUMMYFUNCTION("""COMPUTED_VALUE"""),9.17)</f>
        <v>9.17</v>
      </c>
      <c r="E23" s="1">
        <f>IFERROR(__xludf.DUMMYFUNCTION("""COMPUTED_VALUE"""),9.32)</f>
        <v>9.32</v>
      </c>
      <c r="F23" s="1">
        <f>IFERROR(__xludf.DUMMYFUNCTION("""COMPUTED_VALUE"""),2516949.0)</f>
        <v>2516949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IFERROR(__xludf.DUMMYFUNCTION("""COMPUTED_VALUE"""),9.24)</f>
        <v>9.24</v>
      </c>
      <c r="C24" s="1">
        <f>IFERROR(__xludf.DUMMYFUNCTION("""COMPUTED_VALUE"""),9.3)</f>
        <v>9.3</v>
      </c>
      <c r="D24" s="1">
        <f>IFERROR(__xludf.DUMMYFUNCTION("""COMPUTED_VALUE"""),8.92)</f>
        <v>8.92</v>
      </c>
      <c r="E24" s="1">
        <f>IFERROR(__xludf.DUMMYFUNCTION("""COMPUTED_VALUE"""),9.0)</f>
        <v>9</v>
      </c>
      <c r="F24" s="1">
        <f>IFERROR(__xludf.DUMMYFUNCTION("""COMPUTED_VALUE"""),2426805.0)</f>
        <v>2426805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IFERROR(__xludf.DUMMYFUNCTION("""COMPUTED_VALUE"""),9.06)</f>
        <v>9.06</v>
      </c>
      <c r="C25" s="1">
        <f>IFERROR(__xludf.DUMMYFUNCTION("""COMPUTED_VALUE"""),9.3)</f>
        <v>9.3</v>
      </c>
      <c r="D25" s="1">
        <f>IFERROR(__xludf.DUMMYFUNCTION("""COMPUTED_VALUE"""),8.71)</f>
        <v>8.71</v>
      </c>
      <c r="E25" s="1">
        <f>IFERROR(__xludf.DUMMYFUNCTION("""COMPUTED_VALUE"""),9.0)</f>
        <v>9</v>
      </c>
      <c r="F25" s="1">
        <f>IFERROR(__xludf.DUMMYFUNCTION("""COMPUTED_VALUE"""),2559927.0)</f>
        <v>2559927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IFERROR(__xludf.DUMMYFUNCTION("""COMPUTED_VALUE"""),8.82)</f>
        <v>8.82</v>
      </c>
      <c r="C26" s="1">
        <f>IFERROR(__xludf.DUMMYFUNCTION("""COMPUTED_VALUE"""),9.04)</f>
        <v>9.04</v>
      </c>
      <c r="D26" s="1">
        <f>IFERROR(__xludf.DUMMYFUNCTION("""COMPUTED_VALUE"""),8.78)</f>
        <v>8.78</v>
      </c>
      <c r="E26" s="1">
        <f>IFERROR(__xludf.DUMMYFUNCTION("""COMPUTED_VALUE"""),8.85)</f>
        <v>8.85</v>
      </c>
      <c r="F26" s="1">
        <f>IFERROR(__xludf.DUMMYFUNCTION("""COMPUTED_VALUE"""),760804.0)</f>
        <v>760804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IFERROR(__xludf.DUMMYFUNCTION("""COMPUTED_VALUE"""),8.96)</f>
        <v>8.96</v>
      </c>
      <c r="C27" s="1">
        <f>IFERROR(__xludf.DUMMYFUNCTION("""COMPUTED_VALUE"""),9.08)</f>
        <v>9.08</v>
      </c>
      <c r="D27" s="1">
        <f>IFERROR(__xludf.DUMMYFUNCTION("""COMPUTED_VALUE"""),8.84)</f>
        <v>8.84</v>
      </c>
      <c r="E27" s="1">
        <f>IFERROR(__xludf.DUMMYFUNCTION("""COMPUTED_VALUE"""),9.0)</f>
        <v>9</v>
      </c>
      <c r="F27" s="1">
        <f>IFERROR(__xludf.DUMMYFUNCTION("""COMPUTED_VALUE"""),1080453.0)</f>
        <v>1080453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IFERROR(__xludf.DUMMYFUNCTION("""COMPUTED_VALUE"""),8.93)</f>
        <v>8.93</v>
      </c>
      <c r="C28" s="1">
        <f>IFERROR(__xludf.DUMMYFUNCTION("""COMPUTED_VALUE"""),9.08)</f>
        <v>9.08</v>
      </c>
      <c r="D28" s="1">
        <f>IFERROR(__xludf.DUMMYFUNCTION("""COMPUTED_VALUE"""),8.85)</f>
        <v>8.85</v>
      </c>
      <c r="E28" s="1">
        <f>IFERROR(__xludf.DUMMYFUNCTION("""COMPUTED_VALUE"""),8.98)</f>
        <v>8.98</v>
      </c>
      <c r="F28" s="1">
        <f>IFERROR(__xludf.DUMMYFUNCTION("""COMPUTED_VALUE"""),980660.0)</f>
        <v>980660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IFERROR(__xludf.DUMMYFUNCTION("""COMPUTED_VALUE"""),8.88)</f>
        <v>8.88</v>
      </c>
      <c r="C29" s="1">
        <f>IFERROR(__xludf.DUMMYFUNCTION("""COMPUTED_VALUE"""),8.98)</f>
        <v>8.98</v>
      </c>
      <c r="D29" s="1">
        <f>IFERROR(__xludf.DUMMYFUNCTION("""COMPUTED_VALUE"""),8.75)</f>
        <v>8.75</v>
      </c>
      <c r="E29" s="1">
        <f>IFERROR(__xludf.DUMMYFUNCTION("""COMPUTED_VALUE"""),8.91)</f>
        <v>8.91</v>
      </c>
      <c r="F29" s="1">
        <f>IFERROR(__xludf.DUMMYFUNCTION("""COMPUTED_VALUE"""),735176.0)</f>
        <v>735176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IFERROR(__xludf.DUMMYFUNCTION("""COMPUTED_VALUE"""),8.95)</f>
        <v>8.95</v>
      </c>
      <c r="C30" s="1">
        <f>IFERROR(__xludf.DUMMYFUNCTION("""COMPUTED_VALUE"""),9.09)</f>
        <v>9.09</v>
      </c>
      <c r="D30" s="1">
        <f>IFERROR(__xludf.DUMMYFUNCTION("""COMPUTED_VALUE"""),8.68)</f>
        <v>8.68</v>
      </c>
      <c r="E30" s="1">
        <f>IFERROR(__xludf.DUMMYFUNCTION("""COMPUTED_VALUE"""),9.07)</f>
        <v>9.07</v>
      </c>
      <c r="F30" s="1">
        <f>IFERROR(__xludf.DUMMYFUNCTION("""COMPUTED_VALUE"""),1137327.0)</f>
        <v>1137327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IFERROR(__xludf.DUMMYFUNCTION("""COMPUTED_VALUE"""),9.07)</f>
        <v>9.07</v>
      </c>
      <c r="C31" s="1">
        <f>IFERROR(__xludf.DUMMYFUNCTION("""COMPUTED_VALUE"""),9.36)</f>
        <v>9.36</v>
      </c>
      <c r="D31" s="1">
        <f>IFERROR(__xludf.DUMMYFUNCTION("""COMPUTED_VALUE"""),9.01)</f>
        <v>9.01</v>
      </c>
      <c r="E31" s="1">
        <f>IFERROR(__xludf.DUMMYFUNCTION("""COMPUTED_VALUE"""),9.36)</f>
        <v>9.36</v>
      </c>
      <c r="F31" s="1">
        <f>IFERROR(__xludf.DUMMYFUNCTION("""COMPUTED_VALUE"""),777075.0)</f>
        <v>777075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IFERROR(__xludf.DUMMYFUNCTION("""COMPUTED_VALUE"""),9.44)</f>
        <v>9.44</v>
      </c>
      <c r="C32" s="1">
        <f>IFERROR(__xludf.DUMMYFUNCTION("""COMPUTED_VALUE"""),9.44)</f>
        <v>9.44</v>
      </c>
      <c r="D32" s="1">
        <f>IFERROR(__xludf.DUMMYFUNCTION("""COMPUTED_VALUE"""),9.2)</f>
        <v>9.2</v>
      </c>
      <c r="E32" s="1">
        <f>IFERROR(__xludf.DUMMYFUNCTION("""COMPUTED_VALUE"""),9.37)</f>
        <v>9.37</v>
      </c>
      <c r="F32" s="1">
        <f>IFERROR(__xludf.DUMMYFUNCTION("""COMPUTED_VALUE"""),685354.0)</f>
        <v>685354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IFERROR(__xludf.DUMMYFUNCTION("""COMPUTED_VALUE"""),9.29)</f>
        <v>9.29</v>
      </c>
      <c r="C33" s="1">
        <f>IFERROR(__xludf.DUMMYFUNCTION("""COMPUTED_VALUE"""),9.52)</f>
        <v>9.52</v>
      </c>
      <c r="D33" s="1">
        <f>IFERROR(__xludf.DUMMYFUNCTION("""COMPUTED_VALUE"""),9.29)</f>
        <v>9.29</v>
      </c>
      <c r="E33" s="1">
        <f>IFERROR(__xludf.DUMMYFUNCTION("""COMPUTED_VALUE"""),9.47)</f>
        <v>9.47</v>
      </c>
      <c r="F33" s="1">
        <f>IFERROR(__xludf.DUMMYFUNCTION("""COMPUTED_VALUE"""),636594.0)</f>
        <v>636594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IFERROR(__xludf.DUMMYFUNCTION("""COMPUTED_VALUE"""),9.4)</f>
        <v>9.4</v>
      </c>
      <c r="C34" s="1">
        <f>IFERROR(__xludf.DUMMYFUNCTION("""COMPUTED_VALUE"""),9.64)</f>
        <v>9.64</v>
      </c>
      <c r="D34" s="1">
        <f>IFERROR(__xludf.DUMMYFUNCTION("""COMPUTED_VALUE"""),9.4)</f>
        <v>9.4</v>
      </c>
      <c r="E34" s="1">
        <f>IFERROR(__xludf.DUMMYFUNCTION("""COMPUTED_VALUE"""),9.64)</f>
        <v>9.64</v>
      </c>
      <c r="F34" s="1">
        <f>IFERROR(__xludf.DUMMYFUNCTION("""COMPUTED_VALUE"""),1218611.0)</f>
        <v>1218611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IFERROR(__xludf.DUMMYFUNCTION("""COMPUTED_VALUE"""),9.69)</f>
        <v>9.69</v>
      </c>
      <c r="C35" s="1">
        <f>IFERROR(__xludf.DUMMYFUNCTION("""COMPUTED_VALUE"""),9.96)</f>
        <v>9.96</v>
      </c>
      <c r="D35" s="1">
        <f>IFERROR(__xludf.DUMMYFUNCTION("""COMPUTED_VALUE"""),9.65)</f>
        <v>9.65</v>
      </c>
      <c r="E35" s="1">
        <f>IFERROR(__xludf.DUMMYFUNCTION("""COMPUTED_VALUE"""),9.94)</f>
        <v>9.94</v>
      </c>
      <c r="F35" s="1">
        <f>IFERROR(__xludf.DUMMYFUNCTION("""COMPUTED_VALUE"""),1645636.0)</f>
        <v>1645636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IFERROR(__xludf.DUMMYFUNCTION("""COMPUTED_VALUE"""),9.95)</f>
        <v>9.95</v>
      </c>
      <c r="C36" s="1">
        <f>IFERROR(__xludf.DUMMYFUNCTION("""COMPUTED_VALUE"""),9.99)</f>
        <v>9.99</v>
      </c>
      <c r="D36" s="1">
        <f>IFERROR(__xludf.DUMMYFUNCTION("""COMPUTED_VALUE"""),9.63)</f>
        <v>9.63</v>
      </c>
      <c r="E36" s="1">
        <f>IFERROR(__xludf.DUMMYFUNCTION("""COMPUTED_VALUE"""),9.69)</f>
        <v>9.69</v>
      </c>
      <c r="F36" s="1">
        <f>IFERROR(__xludf.DUMMYFUNCTION("""COMPUTED_VALUE"""),1407935.0)</f>
        <v>1407935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IFERROR(__xludf.DUMMYFUNCTION("""COMPUTED_VALUE"""),9.72)</f>
        <v>9.72</v>
      </c>
      <c r="C37" s="1">
        <f>IFERROR(__xludf.DUMMYFUNCTION("""COMPUTED_VALUE"""),10.14)</f>
        <v>10.14</v>
      </c>
      <c r="D37" s="1">
        <f>IFERROR(__xludf.DUMMYFUNCTION("""COMPUTED_VALUE"""),9.7)</f>
        <v>9.7</v>
      </c>
      <c r="E37" s="1">
        <f>IFERROR(__xludf.DUMMYFUNCTION("""COMPUTED_VALUE"""),9.87)</f>
        <v>9.87</v>
      </c>
      <c r="F37" s="1">
        <f>IFERROR(__xludf.DUMMYFUNCTION("""COMPUTED_VALUE"""),1383148.0)</f>
        <v>1383148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IFERROR(__xludf.DUMMYFUNCTION("""COMPUTED_VALUE"""),9.64)</f>
        <v>9.64</v>
      </c>
      <c r="C38" s="1">
        <f>IFERROR(__xludf.DUMMYFUNCTION("""COMPUTED_VALUE"""),9.92)</f>
        <v>9.92</v>
      </c>
      <c r="D38" s="1">
        <f>IFERROR(__xludf.DUMMYFUNCTION("""COMPUTED_VALUE"""),9.6)</f>
        <v>9.6</v>
      </c>
      <c r="E38" s="1">
        <f>IFERROR(__xludf.DUMMYFUNCTION("""COMPUTED_VALUE"""),9.88)</f>
        <v>9.88</v>
      </c>
      <c r="F38" s="1">
        <f>IFERROR(__xludf.DUMMYFUNCTION("""COMPUTED_VALUE"""),1206739.0)</f>
        <v>1206739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IFERROR(__xludf.DUMMYFUNCTION("""COMPUTED_VALUE"""),9.92)</f>
        <v>9.92</v>
      </c>
      <c r="C39" s="1">
        <f>IFERROR(__xludf.DUMMYFUNCTION("""COMPUTED_VALUE"""),9.92)</f>
        <v>9.92</v>
      </c>
      <c r="D39" s="1">
        <f>IFERROR(__xludf.DUMMYFUNCTION("""COMPUTED_VALUE"""),9.7)</f>
        <v>9.7</v>
      </c>
      <c r="E39" s="1">
        <f>IFERROR(__xludf.DUMMYFUNCTION("""COMPUTED_VALUE"""),9.75)</f>
        <v>9.75</v>
      </c>
      <c r="F39" s="1">
        <f>IFERROR(__xludf.DUMMYFUNCTION("""COMPUTED_VALUE"""),3305543.0)</f>
        <v>3305543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IFERROR(__xludf.DUMMYFUNCTION("""COMPUTED_VALUE"""),9.76)</f>
        <v>9.76</v>
      </c>
      <c r="C40" s="1">
        <f>IFERROR(__xludf.DUMMYFUNCTION("""COMPUTED_VALUE"""),9.92)</f>
        <v>9.92</v>
      </c>
      <c r="D40" s="1">
        <f>IFERROR(__xludf.DUMMYFUNCTION("""COMPUTED_VALUE"""),9.62)</f>
        <v>9.62</v>
      </c>
      <c r="E40" s="1">
        <f>IFERROR(__xludf.DUMMYFUNCTION("""COMPUTED_VALUE"""),9.75)</f>
        <v>9.75</v>
      </c>
      <c r="F40" s="1">
        <f>IFERROR(__xludf.DUMMYFUNCTION("""COMPUTED_VALUE"""),818387.0)</f>
        <v>818387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IFERROR(__xludf.DUMMYFUNCTION("""COMPUTED_VALUE"""),9.77)</f>
        <v>9.77</v>
      </c>
      <c r="C41" s="1">
        <f>IFERROR(__xludf.DUMMYFUNCTION("""COMPUTED_VALUE"""),9.87)</f>
        <v>9.87</v>
      </c>
      <c r="D41" s="1">
        <f>IFERROR(__xludf.DUMMYFUNCTION("""COMPUTED_VALUE"""),9.68)</f>
        <v>9.68</v>
      </c>
      <c r="E41" s="1">
        <f>IFERROR(__xludf.DUMMYFUNCTION("""COMPUTED_VALUE"""),9.79)</f>
        <v>9.79</v>
      </c>
      <c r="F41" s="1">
        <f>IFERROR(__xludf.DUMMYFUNCTION("""COMPUTED_VALUE"""),891131.0)</f>
        <v>891131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IFERROR(__xludf.DUMMYFUNCTION("""COMPUTED_VALUE"""),9.74)</f>
        <v>9.74</v>
      </c>
      <c r="C42" s="1">
        <f>IFERROR(__xludf.DUMMYFUNCTION("""COMPUTED_VALUE"""),9.95)</f>
        <v>9.95</v>
      </c>
      <c r="D42" s="1">
        <f>IFERROR(__xludf.DUMMYFUNCTION("""COMPUTED_VALUE"""),9.72)</f>
        <v>9.72</v>
      </c>
      <c r="E42" s="1">
        <f>IFERROR(__xludf.DUMMYFUNCTION("""COMPUTED_VALUE"""),9.8)</f>
        <v>9.8</v>
      </c>
      <c r="F42" s="1">
        <f>IFERROR(__xludf.DUMMYFUNCTION("""COMPUTED_VALUE"""),1063293.0)</f>
        <v>1063293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IFERROR(__xludf.DUMMYFUNCTION("""COMPUTED_VALUE"""),9.79)</f>
        <v>9.79</v>
      </c>
      <c r="C43" s="1">
        <f>IFERROR(__xludf.DUMMYFUNCTION("""COMPUTED_VALUE"""),9.88)</f>
        <v>9.88</v>
      </c>
      <c r="D43" s="1">
        <f>IFERROR(__xludf.DUMMYFUNCTION("""COMPUTED_VALUE"""),9.66)</f>
        <v>9.66</v>
      </c>
      <c r="E43" s="1">
        <f>IFERROR(__xludf.DUMMYFUNCTION("""COMPUTED_VALUE"""),9.67)</f>
        <v>9.67</v>
      </c>
      <c r="F43" s="1">
        <f>IFERROR(__xludf.DUMMYFUNCTION("""COMPUTED_VALUE"""),621168.0)</f>
        <v>621168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IFERROR(__xludf.DUMMYFUNCTION("""COMPUTED_VALUE"""),9.71)</f>
        <v>9.71</v>
      </c>
      <c r="C44" s="1">
        <f>IFERROR(__xludf.DUMMYFUNCTION("""COMPUTED_VALUE"""),10.13)</f>
        <v>10.13</v>
      </c>
      <c r="D44" s="1">
        <f>IFERROR(__xludf.DUMMYFUNCTION("""COMPUTED_VALUE"""),9.7)</f>
        <v>9.7</v>
      </c>
      <c r="E44" s="1">
        <f>IFERROR(__xludf.DUMMYFUNCTION("""COMPUTED_VALUE"""),10.13)</f>
        <v>10.13</v>
      </c>
      <c r="F44" s="1">
        <f>IFERROR(__xludf.DUMMYFUNCTION("""COMPUTED_VALUE"""),1976918.0)</f>
        <v>1976918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IFERROR(__xludf.DUMMYFUNCTION("""COMPUTED_VALUE"""),10.13)</f>
        <v>10.13</v>
      </c>
      <c r="C45" s="1">
        <f>IFERROR(__xludf.DUMMYFUNCTION("""COMPUTED_VALUE"""),10.17)</f>
        <v>10.17</v>
      </c>
      <c r="D45" s="1">
        <f>IFERROR(__xludf.DUMMYFUNCTION("""COMPUTED_VALUE"""),10.04)</f>
        <v>10.04</v>
      </c>
      <c r="E45" s="1">
        <f>IFERROR(__xludf.DUMMYFUNCTION("""COMPUTED_VALUE"""),10.06)</f>
        <v>10.06</v>
      </c>
      <c r="F45" s="1">
        <f>IFERROR(__xludf.DUMMYFUNCTION("""COMPUTED_VALUE"""),1204728.0)</f>
        <v>1204728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IFERROR(__xludf.DUMMYFUNCTION("""COMPUTED_VALUE"""),10.06)</f>
        <v>10.06</v>
      </c>
      <c r="C46" s="1">
        <f>IFERROR(__xludf.DUMMYFUNCTION("""COMPUTED_VALUE"""),10.26)</f>
        <v>10.26</v>
      </c>
      <c r="D46" s="1">
        <f>IFERROR(__xludf.DUMMYFUNCTION("""COMPUTED_VALUE"""),9.99)</f>
        <v>9.99</v>
      </c>
      <c r="E46" s="1">
        <f>IFERROR(__xludf.DUMMYFUNCTION("""COMPUTED_VALUE"""),10.24)</f>
        <v>10.24</v>
      </c>
      <c r="F46" s="1">
        <f>IFERROR(__xludf.DUMMYFUNCTION("""COMPUTED_VALUE"""),1068491.0)</f>
        <v>1068491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IFERROR(__xludf.DUMMYFUNCTION("""COMPUTED_VALUE"""),10.26)</f>
        <v>10.26</v>
      </c>
      <c r="C47" s="1">
        <f>IFERROR(__xludf.DUMMYFUNCTION("""COMPUTED_VALUE"""),10.86)</f>
        <v>10.86</v>
      </c>
      <c r="D47" s="1">
        <f>IFERROR(__xludf.DUMMYFUNCTION("""COMPUTED_VALUE"""),10.26)</f>
        <v>10.26</v>
      </c>
      <c r="E47" s="1">
        <f>IFERROR(__xludf.DUMMYFUNCTION("""COMPUTED_VALUE"""),10.83)</f>
        <v>10.83</v>
      </c>
      <c r="F47" s="1">
        <f>IFERROR(__xludf.DUMMYFUNCTION("""COMPUTED_VALUE"""),1576779.0)</f>
        <v>1576779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IFERROR(__xludf.DUMMYFUNCTION("""COMPUTED_VALUE"""),10.87)</f>
        <v>10.87</v>
      </c>
      <c r="C48" s="1">
        <f>IFERROR(__xludf.DUMMYFUNCTION("""COMPUTED_VALUE"""),11.29)</f>
        <v>11.29</v>
      </c>
      <c r="D48" s="1">
        <f>IFERROR(__xludf.DUMMYFUNCTION("""COMPUTED_VALUE"""),10.71)</f>
        <v>10.71</v>
      </c>
      <c r="E48" s="1">
        <f>IFERROR(__xludf.DUMMYFUNCTION("""COMPUTED_VALUE"""),11.27)</f>
        <v>11.27</v>
      </c>
      <c r="F48" s="1">
        <f>IFERROR(__xludf.DUMMYFUNCTION("""COMPUTED_VALUE"""),1186873.0)</f>
        <v>1186873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IFERROR(__xludf.DUMMYFUNCTION("""COMPUTED_VALUE"""),11.35)</f>
        <v>11.35</v>
      </c>
      <c r="C49" s="1">
        <f>IFERROR(__xludf.DUMMYFUNCTION("""COMPUTED_VALUE"""),11.35)</f>
        <v>11.35</v>
      </c>
      <c r="D49" s="1">
        <f>IFERROR(__xludf.DUMMYFUNCTION("""COMPUTED_VALUE"""),11.0)</f>
        <v>11</v>
      </c>
      <c r="E49" s="1">
        <f>IFERROR(__xludf.DUMMYFUNCTION("""COMPUTED_VALUE"""),11.12)</f>
        <v>11.12</v>
      </c>
      <c r="F49" s="1">
        <f>IFERROR(__xludf.DUMMYFUNCTION("""COMPUTED_VALUE"""),1072144.0)</f>
        <v>1072144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IFERROR(__xludf.DUMMYFUNCTION("""COMPUTED_VALUE"""),10.79)</f>
        <v>10.79</v>
      </c>
      <c r="C50" s="1">
        <f>IFERROR(__xludf.DUMMYFUNCTION("""COMPUTED_VALUE"""),10.96)</f>
        <v>10.96</v>
      </c>
      <c r="D50" s="1">
        <f>IFERROR(__xludf.DUMMYFUNCTION("""COMPUTED_VALUE"""),10.67)</f>
        <v>10.67</v>
      </c>
      <c r="E50" s="1">
        <f>IFERROR(__xludf.DUMMYFUNCTION("""COMPUTED_VALUE"""),10.81)</f>
        <v>10.81</v>
      </c>
      <c r="F50" s="1">
        <f>IFERROR(__xludf.DUMMYFUNCTION("""COMPUTED_VALUE"""),1033668.0)</f>
        <v>1033668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IFERROR(__xludf.DUMMYFUNCTION("""COMPUTED_VALUE"""),10.71)</f>
        <v>10.71</v>
      </c>
      <c r="C51" s="1">
        <f>IFERROR(__xludf.DUMMYFUNCTION("""COMPUTED_VALUE"""),11.07)</f>
        <v>11.07</v>
      </c>
      <c r="D51" s="1">
        <f>IFERROR(__xludf.DUMMYFUNCTION("""COMPUTED_VALUE"""),10.71)</f>
        <v>10.71</v>
      </c>
      <c r="E51" s="1">
        <f>IFERROR(__xludf.DUMMYFUNCTION("""COMPUTED_VALUE"""),11.06)</f>
        <v>11.06</v>
      </c>
      <c r="F51" s="1">
        <f>IFERROR(__xludf.DUMMYFUNCTION("""COMPUTED_VALUE"""),913393.0)</f>
        <v>913393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IFERROR(__xludf.DUMMYFUNCTION("""COMPUTED_VALUE"""),10.97)</f>
        <v>10.97</v>
      </c>
      <c r="C52" s="1">
        <f>IFERROR(__xludf.DUMMYFUNCTION("""COMPUTED_VALUE"""),11.62)</f>
        <v>11.62</v>
      </c>
      <c r="D52" s="1">
        <f>IFERROR(__xludf.DUMMYFUNCTION("""COMPUTED_VALUE"""),10.85)</f>
        <v>10.85</v>
      </c>
      <c r="E52" s="1">
        <f>IFERROR(__xludf.DUMMYFUNCTION("""COMPUTED_VALUE"""),11.54)</f>
        <v>11.54</v>
      </c>
      <c r="F52" s="1">
        <f>IFERROR(__xludf.DUMMYFUNCTION("""COMPUTED_VALUE"""),1355612.0)</f>
        <v>1355612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IFERROR(__xludf.DUMMYFUNCTION("""COMPUTED_VALUE"""),11.34)</f>
        <v>11.34</v>
      </c>
      <c r="C53" s="1">
        <f>IFERROR(__xludf.DUMMYFUNCTION("""COMPUTED_VALUE"""),11.57)</f>
        <v>11.57</v>
      </c>
      <c r="D53" s="1">
        <f>IFERROR(__xludf.DUMMYFUNCTION("""COMPUTED_VALUE"""),11.15)</f>
        <v>11.15</v>
      </c>
      <c r="E53" s="1">
        <f>IFERROR(__xludf.DUMMYFUNCTION("""COMPUTED_VALUE"""),11.16)</f>
        <v>11.16</v>
      </c>
      <c r="F53" s="1">
        <f>IFERROR(__xludf.DUMMYFUNCTION("""COMPUTED_VALUE"""),1118698.0)</f>
        <v>1118698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IFERROR(__xludf.DUMMYFUNCTION("""COMPUTED_VALUE"""),11.31)</f>
        <v>11.31</v>
      </c>
      <c r="C54" s="1">
        <f>IFERROR(__xludf.DUMMYFUNCTION("""COMPUTED_VALUE"""),11.38)</f>
        <v>11.38</v>
      </c>
      <c r="D54" s="1">
        <f>IFERROR(__xludf.DUMMYFUNCTION("""COMPUTED_VALUE"""),10.82)</f>
        <v>10.82</v>
      </c>
      <c r="E54" s="1">
        <f>IFERROR(__xludf.DUMMYFUNCTION("""COMPUTED_VALUE"""),11.1)</f>
        <v>11.1</v>
      </c>
      <c r="F54" s="1">
        <f>IFERROR(__xludf.DUMMYFUNCTION("""COMPUTED_VALUE"""),2207922.0)</f>
        <v>2207922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IFERROR(__xludf.DUMMYFUNCTION("""COMPUTED_VALUE"""),10.96)</f>
        <v>10.96</v>
      </c>
      <c r="C55" s="1">
        <f>IFERROR(__xludf.DUMMYFUNCTION("""COMPUTED_VALUE"""),11.4)</f>
        <v>11.4</v>
      </c>
      <c r="D55" s="1">
        <f>IFERROR(__xludf.DUMMYFUNCTION("""COMPUTED_VALUE"""),10.86)</f>
        <v>10.86</v>
      </c>
      <c r="E55" s="1">
        <f>IFERROR(__xludf.DUMMYFUNCTION("""COMPUTED_VALUE"""),11.4)</f>
        <v>11.4</v>
      </c>
      <c r="F55" s="1">
        <f>IFERROR(__xludf.DUMMYFUNCTION("""COMPUTED_VALUE"""),812639.0)</f>
        <v>812639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IFERROR(__xludf.DUMMYFUNCTION("""COMPUTED_VALUE"""),11.3)</f>
        <v>11.3</v>
      </c>
      <c r="C56" s="1">
        <f>IFERROR(__xludf.DUMMYFUNCTION("""COMPUTED_VALUE"""),11.58)</f>
        <v>11.58</v>
      </c>
      <c r="D56" s="1">
        <f>IFERROR(__xludf.DUMMYFUNCTION("""COMPUTED_VALUE"""),11.2)</f>
        <v>11.2</v>
      </c>
      <c r="E56" s="1">
        <f>IFERROR(__xludf.DUMMYFUNCTION("""COMPUTED_VALUE"""),11.56)</f>
        <v>11.56</v>
      </c>
      <c r="F56" s="1">
        <f>IFERROR(__xludf.DUMMYFUNCTION("""COMPUTED_VALUE"""),669050.0)</f>
        <v>669050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IFERROR(__xludf.DUMMYFUNCTION("""COMPUTED_VALUE"""),11.47)</f>
        <v>11.47</v>
      </c>
      <c r="C57" s="1">
        <f>IFERROR(__xludf.DUMMYFUNCTION("""COMPUTED_VALUE"""),11.89)</f>
        <v>11.89</v>
      </c>
      <c r="D57" s="1">
        <f>IFERROR(__xludf.DUMMYFUNCTION("""COMPUTED_VALUE"""),11.42)</f>
        <v>11.42</v>
      </c>
      <c r="E57" s="1">
        <f>IFERROR(__xludf.DUMMYFUNCTION("""COMPUTED_VALUE"""),11.85)</f>
        <v>11.85</v>
      </c>
      <c r="F57" s="1">
        <f>IFERROR(__xludf.DUMMYFUNCTION("""COMPUTED_VALUE"""),1038810.0)</f>
        <v>1038810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IFERROR(__xludf.DUMMYFUNCTION("""COMPUTED_VALUE"""),11.93)</f>
        <v>11.93</v>
      </c>
      <c r="C58" s="1">
        <f>IFERROR(__xludf.DUMMYFUNCTION("""COMPUTED_VALUE"""),12.2)</f>
        <v>12.2</v>
      </c>
      <c r="D58" s="1">
        <f>IFERROR(__xludf.DUMMYFUNCTION("""COMPUTED_VALUE"""),11.76)</f>
        <v>11.76</v>
      </c>
      <c r="E58" s="1">
        <f>IFERROR(__xludf.DUMMYFUNCTION("""COMPUTED_VALUE"""),11.78)</f>
        <v>11.78</v>
      </c>
      <c r="F58" s="1">
        <f>IFERROR(__xludf.DUMMYFUNCTION("""COMPUTED_VALUE"""),1107894.0)</f>
        <v>1107894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IFERROR(__xludf.DUMMYFUNCTION("""COMPUTED_VALUE"""),11.86)</f>
        <v>11.86</v>
      </c>
      <c r="C59" s="1">
        <f>IFERROR(__xludf.DUMMYFUNCTION("""COMPUTED_VALUE"""),12.02)</f>
        <v>12.02</v>
      </c>
      <c r="D59" s="1">
        <f>IFERROR(__xludf.DUMMYFUNCTION("""COMPUTED_VALUE"""),11.61)</f>
        <v>11.61</v>
      </c>
      <c r="E59" s="1">
        <f>IFERROR(__xludf.DUMMYFUNCTION("""COMPUTED_VALUE"""),11.64)</f>
        <v>11.64</v>
      </c>
      <c r="F59" s="1">
        <f>IFERROR(__xludf.DUMMYFUNCTION("""COMPUTED_VALUE"""),1003680.0)</f>
        <v>1003680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IFERROR(__xludf.DUMMYFUNCTION("""COMPUTED_VALUE"""),11.71)</f>
        <v>11.71</v>
      </c>
      <c r="C60" s="1">
        <f>IFERROR(__xludf.DUMMYFUNCTION("""COMPUTED_VALUE"""),11.76)</f>
        <v>11.76</v>
      </c>
      <c r="D60" s="1">
        <f>IFERROR(__xludf.DUMMYFUNCTION("""COMPUTED_VALUE"""),11.33)</f>
        <v>11.33</v>
      </c>
      <c r="E60" s="1">
        <f>IFERROR(__xludf.DUMMYFUNCTION("""COMPUTED_VALUE"""),11.57)</f>
        <v>11.57</v>
      </c>
      <c r="F60" s="1">
        <f>IFERROR(__xludf.DUMMYFUNCTION("""COMPUTED_VALUE"""),714889.0)</f>
        <v>714889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IFERROR(__xludf.DUMMYFUNCTION("""COMPUTED_VALUE"""),11.53)</f>
        <v>11.53</v>
      </c>
      <c r="C61" s="1">
        <f>IFERROR(__xludf.DUMMYFUNCTION("""COMPUTED_VALUE"""),11.67)</f>
        <v>11.67</v>
      </c>
      <c r="D61" s="1">
        <f>IFERROR(__xludf.DUMMYFUNCTION("""COMPUTED_VALUE"""),11.23)</f>
        <v>11.23</v>
      </c>
      <c r="E61" s="1">
        <f>IFERROR(__xludf.DUMMYFUNCTION("""COMPUTED_VALUE"""),11.35)</f>
        <v>11.35</v>
      </c>
      <c r="F61" s="1">
        <f>IFERROR(__xludf.DUMMYFUNCTION("""COMPUTED_VALUE"""),684961.0)</f>
        <v>684961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IFERROR(__xludf.DUMMYFUNCTION("""COMPUTED_VALUE"""),11.22)</f>
        <v>11.22</v>
      </c>
      <c r="C62" s="1">
        <f>IFERROR(__xludf.DUMMYFUNCTION("""COMPUTED_VALUE"""),11.75)</f>
        <v>11.75</v>
      </c>
      <c r="D62" s="1">
        <f>IFERROR(__xludf.DUMMYFUNCTION("""COMPUTED_VALUE"""),11.21)</f>
        <v>11.21</v>
      </c>
      <c r="E62" s="1">
        <f>IFERROR(__xludf.DUMMYFUNCTION("""COMPUTED_VALUE"""),11.62)</f>
        <v>11.62</v>
      </c>
      <c r="F62" s="1">
        <f>IFERROR(__xludf.DUMMYFUNCTION("""COMPUTED_VALUE"""),1085189.0)</f>
        <v>1085189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IFERROR(__xludf.DUMMYFUNCTION("""COMPUTED_VALUE"""),11.73)</f>
        <v>11.73</v>
      </c>
      <c r="C63" s="1">
        <f>IFERROR(__xludf.DUMMYFUNCTION("""COMPUTED_VALUE"""),11.8)</f>
        <v>11.8</v>
      </c>
      <c r="D63" s="1">
        <f>IFERROR(__xludf.DUMMYFUNCTION("""COMPUTED_VALUE"""),11.45)</f>
        <v>11.45</v>
      </c>
      <c r="E63" s="1">
        <f>IFERROR(__xludf.DUMMYFUNCTION("""COMPUTED_VALUE"""),11.68)</f>
        <v>11.68</v>
      </c>
      <c r="F63" s="1">
        <f>IFERROR(__xludf.DUMMYFUNCTION("""COMPUTED_VALUE"""),528885.0)</f>
        <v>528885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IFERROR(__xludf.DUMMYFUNCTION("""COMPUTED_VALUE"""),11.77)</f>
        <v>11.77</v>
      </c>
      <c r="C64" s="1">
        <f>IFERROR(__xludf.DUMMYFUNCTION("""COMPUTED_VALUE"""),11.98)</f>
        <v>11.98</v>
      </c>
      <c r="D64" s="1">
        <f>IFERROR(__xludf.DUMMYFUNCTION("""COMPUTED_VALUE"""),11.7)</f>
        <v>11.7</v>
      </c>
      <c r="E64" s="1">
        <f>IFERROR(__xludf.DUMMYFUNCTION("""COMPUTED_VALUE"""),11.98)</f>
        <v>11.98</v>
      </c>
      <c r="F64" s="1">
        <f>IFERROR(__xludf.DUMMYFUNCTION("""COMPUTED_VALUE"""),595846.0)</f>
        <v>595846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IFERROR(__xludf.DUMMYFUNCTION("""COMPUTED_VALUE"""),11.96)</f>
        <v>11.96</v>
      </c>
      <c r="C65" s="1">
        <f>IFERROR(__xludf.DUMMYFUNCTION("""COMPUTED_VALUE"""),12.7)</f>
        <v>12.7</v>
      </c>
      <c r="D65" s="1">
        <f>IFERROR(__xludf.DUMMYFUNCTION("""COMPUTED_VALUE"""),11.86)</f>
        <v>11.86</v>
      </c>
      <c r="E65" s="1">
        <f>IFERROR(__xludf.DUMMYFUNCTION("""COMPUTED_VALUE"""),12.65)</f>
        <v>12.65</v>
      </c>
      <c r="F65" s="1">
        <f>IFERROR(__xludf.DUMMYFUNCTION("""COMPUTED_VALUE"""),1150145.0)</f>
        <v>1150145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IFERROR(__xludf.DUMMYFUNCTION("""COMPUTED_VALUE"""),12.62)</f>
        <v>12.62</v>
      </c>
      <c r="C66" s="1">
        <f>IFERROR(__xludf.DUMMYFUNCTION("""COMPUTED_VALUE"""),12.83)</f>
        <v>12.83</v>
      </c>
      <c r="D66" s="1">
        <f>IFERROR(__xludf.DUMMYFUNCTION("""COMPUTED_VALUE"""),12.47)</f>
        <v>12.47</v>
      </c>
      <c r="E66" s="1">
        <f>IFERROR(__xludf.DUMMYFUNCTION("""COMPUTED_VALUE"""),12.62)</f>
        <v>12.62</v>
      </c>
      <c r="F66" s="1">
        <f>IFERROR(__xludf.DUMMYFUNCTION("""COMPUTED_VALUE"""),977717.0)</f>
        <v>977717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IFERROR(__xludf.DUMMYFUNCTION("""COMPUTED_VALUE"""),12.55)</f>
        <v>12.55</v>
      </c>
      <c r="C67" s="1">
        <f>IFERROR(__xludf.DUMMYFUNCTION("""COMPUTED_VALUE"""),12.91)</f>
        <v>12.91</v>
      </c>
      <c r="D67" s="1">
        <f>IFERROR(__xludf.DUMMYFUNCTION("""COMPUTED_VALUE"""),12.46)</f>
        <v>12.46</v>
      </c>
      <c r="E67" s="1">
        <f>IFERROR(__xludf.DUMMYFUNCTION("""COMPUTED_VALUE"""),12.89)</f>
        <v>12.89</v>
      </c>
      <c r="F67" s="1">
        <f>IFERROR(__xludf.DUMMYFUNCTION("""COMPUTED_VALUE"""),619130.0)</f>
        <v>619130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IFERROR(__xludf.DUMMYFUNCTION("""COMPUTED_VALUE"""),12.92)</f>
        <v>12.92</v>
      </c>
      <c r="C68" s="1">
        <f>IFERROR(__xludf.DUMMYFUNCTION("""COMPUTED_VALUE"""),12.94)</f>
        <v>12.94</v>
      </c>
      <c r="D68" s="1">
        <f>IFERROR(__xludf.DUMMYFUNCTION("""COMPUTED_VALUE"""),12.61)</f>
        <v>12.61</v>
      </c>
      <c r="E68" s="1">
        <f>IFERROR(__xludf.DUMMYFUNCTION("""COMPUTED_VALUE"""),12.92)</f>
        <v>12.92</v>
      </c>
      <c r="F68" s="1">
        <f>IFERROR(__xludf.DUMMYFUNCTION("""COMPUTED_VALUE"""),988917.0)</f>
        <v>988917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IFERROR(__xludf.DUMMYFUNCTION("""COMPUTED_VALUE"""),12.97)</f>
        <v>12.97</v>
      </c>
      <c r="C69" s="1">
        <f>IFERROR(__xludf.DUMMYFUNCTION("""COMPUTED_VALUE"""),12.98)</f>
        <v>12.98</v>
      </c>
      <c r="D69" s="1">
        <f>IFERROR(__xludf.DUMMYFUNCTION("""COMPUTED_VALUE"""),12.81)</f>
        <v>12.81</v>
      </c>
      <c r="E69" s="1">
        <f>IFERROR(__xludf.DUMMYFUNCTION("""COMPUTED_VALUE"""),12.95)</f>
        <v>12.95</v>
      </c>
      <c r="F69" s="1">
        <f>IFERROR(__xludf.DUMMYFUNCTION("""COMPUTED_VALUE"""),556087.0)</f>
        <v>556087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IFERROR(__xludf.DUMMYFUNCTION("""COMPUTED_VALUE"""),12.94)</f>
        <v>12.94</v>
      </c>
      <c r="C70" s="1">
        <f>IFERROR(__xludf.DUMMYFUNCTION("""COMPUTED_VALUE"""),12.99)</f>
        <v>12.99</v>
      </c>
      <c r="D70" s="1">
        <f>IFERROR(__xludf.DUMMYFUNCTION("""COMPUTED_VALUE"""),12.74)</f>
        <v>12.74</v>
      </c>
      <c r="E70" s="1">
        <f>IFERROR(__xludf.DUMMYFUNCTION("""COMPUTED_VALUE"""),12.87)</f>
        <v>12.87</v>
      </c>
      <c r="F70" s="1">
        <f>IFERROR(__xludf.DUMMYFUNCTION("""COMPUTED_VALUE"""),500709.0)</f>
        <v>500709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IFERROR(__xludf.DUMMYFUNCTION("""COMPUTED_VALUE"""),13.06)</f>
        <v>13.06</v>
      </c>
      <c r="C71" s="1">
        <f>IFERROR(__xludf.DUMMYFUNCTION("""COMPUTED_VALUE"""),13.4)</f>
        <v>13.4</v>
      </c>
      <c r="D71" s="1">
        <f>IFERROR(__xludf.DUMMYFUNCTION("""COMPUTED_VALUE"""),12.93)</f>
        <v>12.93</v>
      </c>
      <c r="E71" s="1">
        <f>IFERROR(__xludf.DUMMYFUNCTION("""COMPUTED_VALUE"""),13.38)</f>
        <v>13.38</v>
      </c>
      <c r="F71" s="1">
        <f>IFERROR(__xludf.DUMMYFUNCTION("""COMPUTED_VALUE"""),770234.0)</f>
        <v>770234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IFERROR(__xludf.DUMMYFUNCTION("""COMPUTED_VALUE"""),13.39)</f>
        <v>13.39</v>
      </c>
      <c r="C72" s="1">
        <f>IFERROR(__xludf.DUMMYFUNCTION("""COMPUTED_VALUE"""),13.79)</f>
        <v>13.79</v>
      </c>
      <c r="D72" s="1">
        <f>IFERROR(__xludf.DUMMYFUNCTION("""COMPUTED_VALUE"""),13.26)</f>
        <v>13.26</v>
      </c>
      <c r="E72" s="1">
        <f>IFERROR(__xludf.DUMMYFUNCTION("""COMPUTED_VALUE"""),13.71)</f>
        <v>13.71</v>
      </c>
      <c r="F72" s="1">
        <f>IFERROR(__xludf.DUMMYFUNCTION("""COMPUTED_VALUE"""),739727.0)</f>
        <v>739727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IFERROR(__xludf.DUMMYFUNCTION("""COMPUTED_VALUE"""),13.69)</f>
        <v>13.69</v>
      </c>
      <c r="C73" s="1">
        <f>IFERROR(__xludf.DUMMYFUNCTION("""COMPUTED_VALUE"""),13.73)</f>
        <v>13.73</v>
      </c>
      <c r="D73" s="1">
        <f>IFERROR(__xludf.DUMMYFUNCTION("""COMPUTED_VALUE"""),13.11)</f>
        <v>13.11</v>
      </c>
      <c r="E73" s="1">
        <f>IFERROR(__xludf.DUMMYFUNCTION("""COMPUTED_VALUE"""),13.13)</f>
        <v>13.13</v>
      </c>
      <c r="F73" s="1">
        <f>IFERROR(__xludf.DUMMYFUNCTION("""COMPUTED_VALUE"""),1658517.0)</f>
        <v>1658517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IFERROR(__xludf.DUMMYFUNCTION("""COMPUTED_VALUE"""),13.07)</f>
        <v>13.07</v>
      </c>
      <c r="C74" s="1">
        <f>IFERROR(__xludf.DUMMYFUNCTION("""COMPUTED_VALUE"""),13.28)</f>
        <v>13.28</v>
      </c>
      <c r="D74" s="1">
        <f>IFERROR(__xludf.DUMMYFUNCTION("""COMPUTED_VALUE"""),12.76)</f>
        <v>12.76</v>
      </c>
      <c r="E74" s="1">
        <f>IFERROR(__xludf.DUMMYFUNCTION("""COMPUTED_VALUE"""),13.03)</f>
        <v>13.03</v>
      </c>
      <c r="F74" s="1">
        <f>IFERROR(__xludf.DUMMYFUNCTION("""COMPUTED_VALUE"""),1113037.0)</f>
        <v>1113037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IFERROR(__xludf.DUMMYFUNCTION("""COMPUTED_VALUE"""),13.2)</f>
        <v>13.2</v>
      </c>
      <c r="C75" s="1">
        <f>IFERROR(__xludf.DUMMYFUNCTION("""COMPUTED_VALUE"""),13.23)</f>
        <v>13.23</v>
      </c>
      <c r="D75" s="1">
        <f>IFERROR(__xludf.DUMMYFUNCTION("""COMPUTED_VALUE"""),12.9)</f>
        <v>12.9</v>
      </c>
      <c r="E75" s="1">
        <f>IFERROR(__xludf.DUMMYFUNCTION("""COMPUTED_VALUE"""),13.06)</f>
        <v>13.06</v>
      </c>
      <c r="F75" s="1">
        <f>IFERROR(__xludf.DUMMYFUNCTION("""COMPUTED_VALUE"""),1193327.0)</f>
        <v>1193327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IFERROR(__xludf.DUMMYFUNCTION("""COMPUTED_VALUE"""),13.05)</f>
        <v>13.05</v>
      </c>
      <c r="C76" s="1">
        <f>IFERROR(__xludf.DUMMYFUNCTION("""COMPUTED_VALUE"""),13.95)</f>
        <v>13.95</v>
      </c>
      <c r="D76" s="1">
        <f>IFERROR(__xludf.DUMMYFUNCTION("""COMPUTED_VALUE"""),13.04)</f>
        <v>13.04</v>
      </c>
      <c r="E76" s="1">
        <f>IFERROR(__xludf.DUMMYFUNCTION("""COMPUTED_VALUE"""),13.92)</f>
        <v>13.92</v>
      </c>
      <c r="F76" s="1">
        <f>IFERROR(__xludf.DUMMYFUNCTION("""COMPUTED_VALUE"""),1286032.0)</f>
        <v>1286032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IFERROR(__xludf.DUMMYFUNCTION("""COMPUTED_VALUE"""),13.69)</f>
        <v>13.69</v>
      </c>
      <c r="C77" s="1">
        <f>IFERROR(__xludf.DUMMYFUNCTION("""COMPUTED_VALUE"""),14.6)</f>
        <v>14.6</v>
      </c>
      <c r="D77" s="1">
        <f>IFERROR(__xludf.DUMMYFUNCTION("""COMPUTED_VALUE"""),13.61)</f>
        <v>13.61</v>
      </c>
      <c r="E77" s="1">
        <f>IFERROR(__xludf.DUMMYFUNCTION("""COMPUTED_VALUE"""),14.49)</f>
        <v>14.49</v>
      </c>
      <c r="F77" s="1">
        <f>IFERROR(__xludf.DUMMYFUNCTION("""COMPUTED_VALUE"""),1097465.0)</f>
        <v>1097465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IFERROR(__xludf.DUMMYFUNCTION("""COMPUTED_VALUE"""),14.65)</f>
        <v>14.65</v>
      </c>
      <c r="C78" s="1">
        <f>IFERROR(__xludf.DUMMYFUNCTION("""COMPUTED_VALUE"""),14.96)</f>
        <v>14.96</v>
      </c>
      <c r="D78" s="1">
        <f>IFERROR(__xludf.DUMMYFUNCTION("""COMPUTED_VALUE"""),14.49)</f>
        <v>14.49</v>
      </c>
      <c r="E78" s="1">
        <f>IFERROR(__xludf.DUMMYFUNCTION("""COMPUTED_VALUE"""),14.7)</f>
        <v>14.7</v>
      </c>
      <c r="F78" s="1">
        <f>IFERROR(__xludf.DUMMYFUNCTION("""COMPUTED_VALUE"""),1114396.0)</f>
        <v>1114396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IFERROR(__xludf.DUMMYFUNCTION("""COMPUTED_VALUE"""),14.42)</f>
        <v>14.42</v>
      </c>
      <c r="C79" s="1">
        <f>IFERROR(__xludf.DUMMYFUNCTION("""COMPUTED_VALUE"""),14.68)</f>
        <v>14.68</v>
      </c>
      <c r="D79" s="1">
        <f>IFERROR(__xludf.DUMMYFUNCTION("""COMPUTED_VALUE"""),14.04)</f>
        <v>14.04</v>
      </c>
      <c r="E79" s="1">
        <f>IFERROR(__xludf.DUMMYFUNCTION("""COMPUTED_VALUE"""),14.05)</f>
        <v>14.05</v>
      </c>
      <c r="F79" s="1">
        <f>IFERROR(__xludf.DUMMYFUNCTION("""COMPUTED_VALUE"""),922052.0)</f>
        <v>922052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IFERROR(__xludf.DUMMYFUNCTION("""COMPUTED_VALUE"""),14.07)</f>
        <v>14.07</v>
      </c>
      <c r="C80" s="1">
        <f>IFERROR(__xludf.DUMMYFUNCTION("""COMPUTED_VALUE"""),14.32)</f>
        <v>14.32</v>
      </c>
      <c r="D80" s="1">
        <f>IFERROR(__xludf.DUMMYFUNCTION("""COMPUTED_VALUE"""),13.56)</f>
        <v>13.56</v>
      </c>
      <c r="E80" s="1">
        <f>IFERROR(__xludf.DUMMYFUNCTION("""COMPUTED_VALUE"""),13.71)</f>
        <v>13.71</v>
      </c>
      <c r="F80" s="1">
        <f>IFERROR(__xludf.DUMMYFUNCTION("""COMPUTED_VALUE"""),1093549.0)</f>
        <v>1093549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IFERROR(__xludf.DUMMYFUNCTION("""COMPUTED_VALUE"""),13.95)</f>
        <v>13.95</v>
      </c>
      <c r="C81" s="1">
        <f>IFERROR(__xludf.DUMMYFUNCTION("""COMPUTED_VALUE"""),14.17)</f>
        <v>14.17</v>
      </c>
      <c r="D81" s="1">
        <f>IFERROR(__xludf.DUMMYFUNCTION("""COMPUTED_VALUE"""),13.65)</f>
        <v>13.65</v>
      </c>
      <c r="E81" s="1">
        <f>IFERROR(__xludf.DUMMYFUNCTION("""COMPUTED_VALUE"""),13.75)</f>
        <v>13.75</v>
      </c>
      <c r="F81" s="1">
        <f>IFERROR(__xludf.DUMMYFUNCTION("""COMPUTED_VALUE"""),891722.0)</f>
        <v>891722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IFERROR(__xludf.DUMMYFUNCTION("""COMPUTED_VALUE"""),13.44)</f>
        <v>13.44</v>
      </c>
      <c r="C82" s="1">
        <f>IFERROR(__xludf.DUMMYFUNCTION("""COMPUTED_VALUE"""),13.45)</f>
        <v>13.45</v>
      </c>
      <c r="D82" s="1">
        <f>IFERROR(__xludf.DUMMYFUNCTION("""COMPUTED_VALUE"""),12.11)</f>
        <v>12.11</v>
      </c>
      <c r="E82" s="1">
        <f>IFERROR(__xludf.DUMMYFUNCTION("""COMPUTED_VALUE"""),12.51)</f>
        <v>12.51</v>
      </c>
      <c r="F82" s="1">
        <f>IFERROR(__xludf.DUMMYFUNCTION("""COMPUTED_VALUE"""),2892926.0)</f>
        <v>2892926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IFERROR(__xludf.DUMMYFUNCTION("""COMPUTED_VALUE"""),12.59)</f>
        <v>12.59</v>
      </c>
      <c r="C83" s="1">
        <f>IFERROR(__xludf.DUMMYFUNCTION("""COMPUTED_VALUE"""),12.88)</f>
        <v>12.88</v>
      </c>
      <c r="D83" s="1">
        <f>IFERROR(__xludf.DUMMYFUNCTION("""COMPUTED_VALUE"""),12.31)</f>
        <v>12.31</v>
      </c>
      <c r="E83" s="1">
        <f>IFERROR(__xludf.DUMMYFUNCTION("""COMPUTED_VALUE"""),12.33)</f>
        <v>12.33</v>
      </c>
      <c r="F83" s="1">
        <f>IFERROR(__xludf.DUMMYFUNCTION("""COMPUTED_VALUE"""),1251402.0)</f>
        <v>1251402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IFERROR(__xludf.DUMMYFUNCTION("""COMPUTED_VALUE"""),12.41)</f>
        <v>12.41</v>
      </c>
      <c r="C84" s="1">
        <f>IFERROR(__xludf.DUMMYFUNCTION("""COMPUTED_VALUE"""),12.57)</f>
        <v>12.57</v>
      </c>
      <c r="D84" s="1">
        <f>IFERROR(__xludf.DUMMYFUNCTION("""COMPUTED_VALUE"""),12.07)</f>
        <v>12.07</v>
      </c>
      <c r="E84" s="1">
        <f>IFERROR(__xludf.DUMMYFUNCTION("""COMPUTED_VALUE"""),12.41)</f>
        <v>12.41</v>
      </c>
      <c r="F84" s="1">
        <f>IFERROR(__xludf.DUMMYFUNCTION("""COMPUTED_VALUE"""),739482.0)</f>
        <v>739482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IFERROR(__xludf.DUMMYFUNCTION("""COMPUTED_VALUE"""),12.2)</f>
        <v>12.2</v>
      </c>
      <c r="C85" s="1">
        <f>IFERROR(__xludf.DUMMYFUNCTION("""COMPUTED_VALUE"""),12.22)</f>
        <v>12.22</v>
      </c>
      <c r="D85" s="1">
        <f>IFERROR(__xludf.DUMMYFUNCTION("""COMPUTED_VALUE"""),11.7)</f>
        <v>11.7</v>
      </c>
      <c r="E85" s="1">
        <f>IFERROR(__xludf.DUMMYFUNCTION("""COMPUTED_VALUE"""),11.88)</f>
        <v>11.88</v>
      </c>
      <c r="F85" s="1">
        <f>IFERROR(__xludf.DUMMYFUNCTION("""COMPUTED_VALUE"""),1203018.0)</f>
        <v>1203018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IFERROR(__xludf.DUMMYFUNCTION("""COMPUTED_VALUE"""),11.71)</f>
        <v>11.71</v>
      </c>
      <c r="C86" s="1">
        <f>IFERROR(__xludf.DUMMYFUNCTION("""COMPUTED_VALUE"""),12.64)</f>
        <v>12.64</v>
      </c>
      <c r="D86" s="1">
        <f>IFERROR(__xludf.DUMMYFUNCTION("""COMPUTED_VALUE"""),11.7)</f>
        <v>11.7</v>
      </c>
      <c r="E86" s="1">
        <f>IFERROR(__xludf.DUMMYFUNCTION("""COMPUTED_VALUE"""),12.54)</f>
        <v>12.54</v>
      </c>
      <c r="F86" s="1">
        <f>IFERROR(__xludf.DUMMYFUNCTION("""COMPUTED_VALUE"""),1360742.0)</f>
        <v>1360742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IFERROR(__xludf.DUMMYFUNCTION("""COMPUTED_VALUE"""),12.67)</f>
        <v>12.67</v>
      </c>
      <c r="C87" s="1">
        <f>IFERROR(__xludf.DUMMYFUNCTION("""COMPUTED_VALUE"""),12.92)</f>
        <v>12.92</v>
      </c>
      <c r="D87" s="1">
        <f>IFERROR(__xludf.DUMMYFUNCTION("""COMPUTED_VALUE"""),11.66)</f>
        <v>11.66</v>
      </c>
      <c r="E87" s="1">
        <f>IFERROR(__xludf.DUMMYFUNCTION("""COMPUTED_VALUE"""),12.09)</f>
        <v>12.09</v>
      </c>
      <c r="F87" s="1">
        <f>IFERROR(__xludf.DUMMYFUNCTION("""COMPUTED_VALUE"""),1199030.0)</f>
        <v>1199030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IFERROR(__xludf.DUMMYFUNCTION("""COMPUTED_VALUE"""),11.93)</f>
        <v>11.93</v>
      </c>
      <c r="C88" s="1">
        <f>IFERROR(__xludf.DUMMYFUNCTION("""COMPUTED_VALUE"""),12.38)</f>
        <v>12.38</v>
      </c>
      <c r="D88" s="1">
        <f>IFERROR(__xludf.DUMMYFUNCTION("""COMPUTED_VALUE"""),11.72)</f>
        <v>11.72</v>
      </c>
      <c r="E88" s="1">
        <f>IFERROR(__xludf.DUMMYFUNCTION("""COMPUTED_VALUE"""),11.92)</f>
        <v>11.92</v>
      </c>
      <c r="F88" s="1">
        <f>IFERROR(__xludf.DUMMYFUNCTION("""COMPUTED_VALUE"""),1452194.0)</f>
        <v>1452194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IFERROR(__xludf.DUMMYFUNCTION("""COMPUTED_VALUE"""),12.69)</f>
        <v>12.69</v>
      </c>
      <c r="C89" s="1">
        <f>IFERROR(__xludf.DUMMYFUNCTION("""COMPUTED_VALUE"""),13.04)</f>
        <v>13.04</v>
      </c>
      <c r="D89" s="1">
        <f>IFERROR(__xludf.DUMMYFUNCTION("""COMPUTED_VALUE"""),12.36)</f>
        <v>12.36</v>
      </c>
      <c r="E89" s="1">
        <f>IFERROR(__xludf.DUMMYFUNCTION("""COMPUTED_VALUE"""),12.9)</f>
        <v>12.9</v>
      </c>
      <c r="F89" s="1">
        <f>IFERROR(__xludf.DUMMYFUNCTION("""COMPUTED_VALUE"""),1114847.0)</f>
        <v>1114847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IFERROR(__xludf.DUMMYFUNCTION("""COMPUTED_VALUE"""),12.62)</f>
        <v>12.62</v>
      </c>
      <c r="C90" s="1">
        <f>IFERROR(__xludf.DUMMYFUNCTION("""COMPUTED_VALUE"""),13.37)</f>
        <v>13.37</v>
      </c>
      <c r="D90" s="1">
        <f>IFERROR(__xludf.DUMMYFUNCTION("""COMPUTED_VALUE"""),12.62)</f>
        <v>12.62</v>
      </c>
      <c r="E90" s="1">
        <f>IFERROR(__xludf.DUMMYFUNCTION("""COMPUTED_VALUE"""),13.05)</f>
        <v>13.05</v>
      </c>
      <c r="F90" s="1">
        <f>IFERROR(__xludf.DUMMYFUNCTION("""COMPUTED_VALUE"""),1091547.0)</f>
        <v>1091547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IFERROR(__xludf.DUMMYFUNCTION("""COMPUTED_VALUE"""),13.0)</f>
        <v>13</v>
      </c>
      <c r="C91" s="1">
        <f>IFERROR(__xludf.DUMMYFUNCTION("""COMPUTED_VALUE"""),13.48)</f>
        <v>13.48</v>
      </c>
      <c r="D91" s="1">
        <f>IFERROR(__xludf.DUMMYFUNCTION("""COMPUTED_VALUE"""),13.0)</f>
        <v>13</v>
      </c>
      <c r="E91" s="1">
        <f>IFERROR(__xludf.DUMMYFUNCTION("""COMPUTED_VALUE"""),13.41)</f>
        <v>13.41</v>
      </c>
      <c r="F91" s="1">
        <f>IFERROR(__xludf.DUMMYFUNCTION("""COMPUTED_VALUE"""),588334.0)</f>
        <v>588334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IFERROR(__xludf.DUMMYFUNCTION("""COMPUTED_VALUE"""),13.4)</f>
        <v>13.4</v>
      </c>
      <c r="C92" s="1">
        <f>IFERROR(__xludf.DUMMYFUNCTION("""COMPUTED_VALUE"""),13.5)</f>
        <v>13.5</v>
      </c>
      <c r="D92" s="1">
        <f>IFERROR(__xludf.DUMMYFUNCTION("""COMPUTED_VALUE"""),13.17)</f>
        <v>13.17</v>
      </c>
      <c r="E92" s="1">
        <f>IFERROR(__xludf.DUMMYFUNCTION("""COMPUTED_VALUE"""),13.25)</f>
        <v>13.25</v>
      </c>
      <c r="F92" s="1">
        <f>IFERROR(__xludf.DUMMYFUNCTION("""COMPUTED_VALUE"""),645140.0)</f>
        <v>645140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IFERROR(__xludf.DUMMYFUNCTION("""COMPUTED_VALUE"""),13.1)</f>
        <v>13.1</v>
      </c>
      <c r="C93" s="1">
        <f>IFERROR(__xludf.DUMMYFUNCTION("""COMPUTED_VALUE"""),13.18)</f>
        <v>13.18</v>
      </c>
      <c r="D93" s="1">
        <f>IFERROR(__xludf.DUMMYFUNCTION("""COMPUTED_VALUE"""),12.52)</f>
        <v>12.52</v>
      </c>
      <c r="E93" s="1">
        <f>IFERROR(__xludf.DUMMYFUNCTION("""COMPUTED_VALUE"""),12.75)</f>
        <v>12.75</v>
      </c>
      <c r="F93" s="1">
        <f>IFERROR(__xludf.DUMMYFUNCTION("""COMPUTED_VALUE"""),674669.0)</f>
        <v>674669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IFERROR(__xludf.DUMMYFUNCTION("""COMPUTED_VALUE"""),12.93)</f>
        <v>12.93</v>
      </c>
      <c r="C94" s="1">
        <f>IFERROR(__xludf.DUMMYFUNCTION("""COMPUTED_VALUE"""),13.05)</f>
        <v>13.05</v>
      </c>
      <c r="D94" s="1">
        <f>IFERROR(__xludf.DUMMYFUNCTION("""COMPUTED_VALUE"""),12.4)</f>
        <v>12.4</v>
      </c>
      <c r="E94" s="1">
        <f>IFERROR(__xludf.DUMMYFUNCTION("""COMPUTED_VALUE"""),12.88)</f>
        <v>12.88</v>
      </c>
      <c r="F94" s="1">
        <f>IFERROR(__xludf.DUMMYFUNCTION("""COMPUTED_VALUE"""),438535.0)</f>
        <v>438535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IFERROR(__xludf.DUMMYFUNCTION("""COMPUTED_VALUE"""),13.0)</f>
        <v>13</v>
      </c>
      <c r="C95" s="1">
        <f>IFERROR(__xludf.DUMMYFUNCTION("""COMPUTED_VALUE"""),13.09)</f>
        <v>13.09</v>
      </c>
      <c r="D95" s="1">
        <f>IFERROR(__xludf.DUMMYFUNCTION("""COMPUTED_VALUE"""),12.39)</f>
        <v>12.39</v>
      </c>
      <c r="E95" s="1">
        <f>IFERROR(__xludf.DUMMYFUNCTION("""COMPUTED_VALUE"""),12.56)</f>
        <v>12.56</v>
      </c>
      <c r="F95" s="1">
        <f>IFERROR(__xludf.DUMMYFUNCTION("""COMPUTED_VALUE"""),575443.0)</f>
        <v>575443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IFERROR(__xludf.DUMMYFUNCTION("""COMPUTED_VALUE"""),12.55)</f>
        <v>12.55</v>
      </c>
      <c r="C96" s="1">
        <f>IFERROR(__xludf.DUMMYFUNCTION("""COMPUTED_VALUE"""),12.99)</f>
        <v>12.99</v>
      </c>
      <c r="D96" s="1">
        <f>IFERROR(__xludf.DUMMYFUNCTION("""COMPUTED_VALUE"""),12.2)</f>
        <v>12.2</v>
      </c>
      <c r="E96" s="1">
        <f>IFERROR(__xludf.DUMMYFUNCTION("""COMPUTED_VALUE"""),12.3)</f>
        <v>12.3</v>
      </c>
      <c r="F96" s="1">
        <f>IFERROR(__xludf.DUMMYFUNCTION("""COMPUTED_VALUE"""),566580.0)</f>
        <v>566580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IFERROR(__xludf.DUMMYFUNCTION("""COMPUTED_VALUE"""),12.15)</f>
        <v>12.15</v>
      </c>
      <c r="C97" s="1">
        <f>IFERROR(__xludf.DUMMYFUNCTION("""COMPUTED_VALUE"""),12.29)</f>
        <v>12.29</v>
      </c>
      <c r="D97" s="1">
        <f>IFERROR(__xludf.DUMMYFUNCTION("""COMPUTED_VALUE"""),11.11)</f>
        <v>11.11</v>
      </c>
      <c r="E97" s="1">
        <f>IFERROR(__xludf.DUMMYFUNCTION("""COMPUTED_VALUE"""),11.12)</f>
        <v>11.12</v>
      </c>
      <c r="F97" s="1">
        <f>IFERROR(__xludf.DUMMYFUNCTION("""COMPUTED_VALUE"""),1874296.0)</f>
        <v>1874296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IFERROR(__xludf.DUMMYFUNCTION("""COMPUTED_VALUE"""),10.92)</f>
        <v>10.92</v>
      </c>
      <c r="C98" s="1">
        <f>IFERROR(__xludf.DUMMYFUNCTION("""COMPUTED_VALUE"""),11.69)</f>
        <v>11.69</v>
      </c>
      <c r="D98" s="1">
        <f>IFERROR(__xludf.DUMMYFUNCTION("""COMPUTED_VALUE"""),10.92)</f>
        <v>10.92</v>
      </c>
      <c r="E98" s="1">
        <f>IFERROR(__xludf.DUMMYFUNCTION("""COMPUTED_VALUE"""),11.68)</f>
        <v>11.68</v>
      </c>
      <c r="F98" s="1">
        <f>IFERROR(__xludf.DUMMYFUNCTION("""COMPUTED_VALUE"""),1328494.0)</f>
        <v>1328494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IFERROR(__xludf.DUMMYFUNCTION("""COMPUTED_VALUE"""),11.43)</f>
        <v>11.43</v>
      </c>
      <c r="C99" s="1">
        <f>IFERROR(__xludf.DUMMYFUNCTION("""COMPUTED_VALUE"""),11.76)</f>
        <v>11.76</v>
      </c>
      <c r="D99" s="1">
        <f>IFERROR(__xludf.DUMMYFUNCTION("""COMPUTED_VALUE"""),11.19)</f>
        <v>11.19</v>
      </c>
      <c r="E99" s="1">
        <f>IFERROR(__xludf.DUMMYFUNCTION("""COMPUTED_VALUE"""),11.22)</f>
        <v>11.22</v>
      </c>
      <c r="F99" s="1">
        <f>IFERROR(__xludf.DUMMYFUNCTION("""COMPUTED_VALUE"""),781245.0)</f>
        <v>781245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IFERROR(__xludf.DUMMYFUNCTION("""COMPUTED_VALUE"""),10.91)</f>
        <v>10.91</v>
      </c>
      <c r="C100" s="1">
        <f>IFERROR(__xludf.DUMMYFUNCTION("""COMPUTED_VALUE"""),11.25)</f>
        <v>11.25</v>
      </c>
      <c r="D100" s="1">
        <f>IFERROR(__xludf.DUMMYFUNCTION("""COMPUTED_VALUE"""),10.57)</f>
        <v>10.57</v>
      </c>
      <c r="E100" s="1">
        <f>IFERROR(__xludf.DUMMYFUNCTION("""COMPUTED_VALUE"""),11.08)</f>
        <v>11.08</v>
      </c>
      <c r="F100" s="1">
        <f>IFERROR(__xludf.DUMMYFUNCTION("""COMPUTED_VALUE"""),1689326.0)</f>
        <v>1689326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IFERROR(__xludf.DUMMYFUNCTION("""COMPUTED_VALUE"""),11.19)</f>
        <v>11.19</v>
      </c>
      <c r="C101" s="1">
        <f>IFERROR(__xludf.DUMMYFUNCTION("""COMPUTED_VALUE"""),11.49)</f>
        <v>11.49</v>
      </c>
      <c r="D101" s="1">
        <f>IFERROR(__xludf.DUMMYFUNCTION("""COMPUTED_VALUE"""),10.88)</f>
        <v>10.88</v>
      </c>
      <c r="E101" s="1">
        <f>IFERROR(__xludf.DUMMYFUNCTION("""COMPUTED_VALUE"""),11.04)</f>
        <v>11.04</v>
      </c>
      <c r="F101" s="1">
        <f>IFERROR(__xludf.DUMMYFUNCTION("""COMPUTED_VALUE"""),900843.0)</f>
        <v>900843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IFERROR(__xludf.DUMMYFUNCTION("""COMPUTED_VALUE"""),11.38)</f>
        <v>11.38</v>
      </c>
      <c r="C102" s="1">
        <f>IFERROR(__xludf.DUMMYFUNCTION("""COMPUTED_VALUE"""),11.44)</f>
        <v>11.44</v>
      </c>
      <c r="D102" s="1">
        <f>IFERROR(__xludf.DUMMYFUNCTION("""COMPUTED_VALUE"""),11.01)</f>
        <v>11.01</v>
      </c>
      <c r="E102" s="1">
        <f>IFERROR(__xludf.DUMMYFUNCTION("""COMPUTED_VALUE"""),11.3)</f>
        <v>11.3</v>
      </c>
      <c r="F102" s="1">
        <f>IFERROR(__xludf.DUMMYFUNCTION("""COMPUTED_VALUE"""),1121607.0)</f>
        <v>1121607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IFERROR(__xludf.DUMMYFUNCTION("""COMPUTED_VALUE"""),11.19)</f>
        <v>11.19</v>
      </c>
      <c r="C103" s="1">
        <f>IFERROR(__xludf.DUMMYFUNCTION("""COMPUTED_VALUE"""),11.29)</f>
        <v>11.29</v>
      </c>
      <c r="D103" s="1">
        <f>IFERROR(__xludf.DUMMYFUNCTION("""COMPUTED_VALUE"""),10.91)</f>
        <v>10.91</v>
      </c>
      <c r="E103" s="1">
        <f>IFERROR(__xludf.DUMMYFUNCTION("""COMPUTED_VALUE"""),11.02)</f>
        <v>11.02</v>
      </c>
      <c r="F103" s="1">
        <f>IFERROR(__xludf.DUMMYFUNCTION("""COMPUTED_VALUE"""),971947.0)</f>
        <v>971947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IFERROR(__xludf.DUMMYFUNCTION("""COMPUTED_VALUE"""),10.88)</f>
        <v>10.88</v>
      </c>
      <c r="C104" s="1">
        <f>IFERROR(__xludf.DUMMYFUNCTION("""COMPUTED_VALUE"""),11.0)</f>
        <v>11</v>
      </c>
      <c r="D104" s="1">
        <f>IFERROR(__xludf.DUMMYFUNCTION("""COMPUTED_VALUE"""),10.62)</f>
        <v>10.62</v>
      </c>
      <c r="E104" s="1">
        <f>IFERROR(__xludf.DUMMYFUNCTION("""COMPUTED_VALUE"""),10.62)</f>
        <v>10.62</v>
      </c>
      <c r="F104" s="1">
        <f>IFERROR(__xludf.DUMMYFUNCTION("""COMPUTED_VALUE"""),1083926.0)</f>
        <v>1083926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IFERROR(__xludf.DUMMYFUNCTION("""COMPUTED_VALUE"""),10.65)</f>
        <v>10.65</v>
      </c>
      <c r="C105" s="1">
        <f>IFERROR(__xludf.DUMMYFUNCTION("""COMPUTED_VALUE"""),11.25)</f>
        <v>11.25</v>
      </c>
      <c r="D105" s="1">
        <f>IFERROR(__xludf.DUMMYFUNCTION("""COMPUTED_VALUE"""),10.62)</f>
        <v>10.62</v>
      </c>
      <c r="E105" s="1">
        <f>IFERROR(__xludf.DUMMYFUNCTION("""COMPUTED_VALUE"""),11.25)</f>
        <v>11.25</v>
      </c>
      <c r="F105" s="1">
        <f>IFERROR(__xludf.DUMMYFUNCTION("""COMPUTED_VALUE"""),731461.0)</f>
        <v>731461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IFERROR(__xludf.DUMMYFUNCTION("""COMPUTED_VALUE"""),11.05)</f>
        <v>11.05</v>
      </c>
      <c r="C106" s="1">
        <f>IFERROR(__xludf.DUMMYFUNCTION("""COMPUTED_VALUE"""),11.33)</f>
        <v>11.33</v>
      </c>
      <c r="D106" s="1">
        <f>IFERROR(__xludf.DUMMYFUNCTION("""COMPUTED_VALUE"""),10.96)</f>
        <v>10.96</v>
      </c>
      <c r="E106" s="1">
        <f>IFERROR(__xludf.DUMMYFUNCTION("""COMPUTED_VALUE"""),11.27)</f>
        <v>11.27</v>
      </c>
      <c r="F106" s="1">
        <f>IFERROR(__xludf.DUMMYFUNCTION("""COMPUTED_VALUE"""),871453.0)</f>
        <v>871453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IFERROR(__xludf.DUMMYFUNCTION("""COMPUTED_VALUE"""),11.04)</f>
        <v>11.04</v>
      </c>
      <c r="C107" s="1">
        <f>IFERROR(__xludf.DUMMYFUNCTION("""COMPUTED_VALUE"""),11.12)</f>
        <v>11.12</v>
      </c>
      <c r="D107" s="1">
        <f>IFERROR(__xludf.DUMMYFUNCTION("""COMPUTED_VALUE"""),10.37)</f>
        <v>10.37</v>
      </c>
      <c r="E107" s="1">
        <f>IFERROR(__xludf.DUMMYFUNCTION("""COMPUTED_VALUE"""),10.38)</f>
        <v>10.38</v>
      </c>
      <c r="F107" s="1">
        <f>IFERROR(__xludf.DUMMYFUNCTION("""COMPUTED_VALUE"""),880019.0)</f>
        <v>880019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IFERROR(__xludf.DUMMYFUNCTION("""COMPUTED_VALUE"""),10.53)</f>
        <v>10.53</v>
      </c>
      <c r="C108" s="1">
        <f>IFERROR(__xludf.DUMMYFUNCTION("""COMPUTED_VALUE"""),10.74)</f>
        <v>10.74</v>
      </c>
      <c r="D108" s="1">
        <f>IFERROR(__xludf.DUMMYFUNCTION("""COMPUTED_VALUE"""),10.27)</f>
        <v>10.27</v>
      </c>
      <c r="E108" s="1">
        <f>IFERROR(__xludf.DUMMYFUNCTION("""COMPUTED_VALUE"""),10.51)</f>
        <v>10.51</v>
      </c>
      <c r="F108" s="1">
        <f>IFERROR(__xludf.DUMMYFUNCTION("""COMPUTED_VALUE"""),1015644.0)</f>
        <v>1015644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IFERROR(__xludf.DUMMYFUNCTION("""COMPUTED_VALUE"""),10.68)</f>
        <v>10.68</v>
      </c>
      <c r="C109" s="1">
        <f>IFERROR(__xludf.DUMMYFUNCTION("""COMPUTED_VALUE"""),10.78)</f>
        <v>10.78</v>
      </c>
      <c r="D109" s="1">
        <f>IFERROR(__xludf.DUMMYFUNCTION("""COMPUTED_VALUE"""),10.27)</f>
        <v>10.27</v>
      </c>
      <c r="E109" s="1">
        <f>IFERROR(__xludf.DUMMYFUNCTION("""COMPUTED_VALUE"""),10.51)</f>
        <v>10.51</v>
      </c>
      <c r="F109" s="1">
        <f>IFERROR(__xludf.DUMMYFUNCTION("""COMPUTED_VALUE"""),648717.0)</f>
        <v>648717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IFERROR(__xludf.DUMMYFUNCTION("""COMPUTED_VALUE"""),10.58)</f>
        <v>10.58</v>
      </c>
      <c r="C110" s="1">
        <f>IFERROR(__xludf.DUMMYFUNCTION("""COMPUTED_VALUE"""),10.61)</f>
        <v>10.61</v>
      </c>
      <c r="D110" s="1">
        <f>IFERROR(__xludf.DUMMYFUNCTION("""COMPUTED_VALUE"""),10.13)</f>
        <v>10.13</v>
      </c>
      <c r="E110" s="1">
        <f>IFERROR(__xludf.DUMMYFUNCTION("""COMPUTED_VALUE"""),10.16)</f>
        <v>10.16</v>
      </c>
      <c r="F110" s="1">
        <f>IFERROR(__xludf.DUMMYFUNCTION("""COMPUTED_VALUE"""),622992.0)</f>
        <v>622992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IFERROR(__xludf.DUMMYFUNCTION("""COMPUTED_VALUE"""),10.4)</f>
        <v>10.4</v>
      </c>
      <c r="C111" s="1">
        <f>IFERROR(__xludf.DUMMYFUNCTION("""COMPUTED_VALUE"""),10.57)</f>
        <v>10.57</v>
      </c>
      <c r="D111" s="1">
        <f>IFERROR(__xludf.DUMMYFUNCTION("""COMPUTED_VALUE"""),10.19)</f>
        <v>10.19</v>
      </c>
      <c r="E111" s="1">
        <f>IFERROR(__xludf.DUMMYFUNCTION("""COMPUTED_VALUE"""),10.57)</f>
        <v>10.57</v>
      </c>
      <c r="F111" s="1">
        <f>IFERROR(__xludf.DUMMYFUNCTION("""COMPUTED_VALUE"""),648619.0)</f>
        <v>648619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IFERROR(__xludf.DUMMYFUNCTION("""COMPUTED_VALUE"""),10.42)</f>
        <v>10.42</v>
      </c>
      <c r="C112" s="1">
        <f>IFERROR(__xludf.DUMMYFUNCTION("""COMPUTED_VALUE"""),10.91)</f>
        <v>10.91</v>
      </c>
      <c r="D112" s="1">
        <f>IFERROR(__xludf.DUMMYFUNCTION("""COMPUTED_VALUE"""),10.27)</f>
        <v>10.27</v>
      </c>
      <c r="E112" s="1">
        <f>IFERROR(__xludf.DUMMYFUNCTION("""COMPUTED_VALUE"""),10.91)</f>
        <v>10.91</v>
      </c>
      <c r="F112" s="1">
        <f>IFERROR(__xludf.DUMMYFUNCTION("""COMPUTED_VALUE"""),482110.0)</f>
        <v>482110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IFERROR(__xludf.DUMMYFUNCTION("""COMPUTED_VALUE"""),11.05)</f>
        <v>11.05</v>
      </c>
      <c r="C113" s="1">
        <f>IFERROR(__xludf.DUMMYFUNCTION("""COMPUTED_VALUE"""),11.13)</f>
        <v>11.13</v>
      </c>
      <c r="D113" s="1">
        <f>IFERROR(__xludf.DUMMYFUNCTION("""COMPUTED_VALUE"""),10.65)</f>
        <v>10.65</v>
      </c>
      <c r="E113" s="1">
        <f>IFERROR(__xludf.DUMMYFUNCTION("""COMPUTED_VALUE"""),10.68)</f>
        <v>10.68</v>
      </c>
      <c r="F113" s="1">
        <f>IFERROR(__xludf.DUMMYFUNCTION("""COMPUTED_VALUE"""),516581.0)</f>
        <v>516581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IFERROR(__xludf.DUMMYFUNCTION("""COMPUTED_VALUE"""),10.8)</f>
        <v>10.8</v>
      </c>
      <c r="C114" s="1">
        <f>IFERROR(__xludf.DUMMYFUNCTION("""COMPUTED_VALUE"""),11.06)</f>
        <v>11.06</v>
      </c>
      <c r="D114" s="1">
        <f>IFERROR(__xludf.DUMMYFUNCTION("""COMPUTED_VALUE"""),10.58)</f>
        <v>10.58</v>
      </c>
      <c r="E114" s="1">
        <f>IFERROR(__xludf.DUMMYFUNCTION("""COMPUTED_VALUE"""),11.01)</f>
        <v>11.01</v>
      </c>
      <c r="F114" s="1">
        <f>IFERROR(__xludf.DUMMYFUNCTION("""COMPUTED_VALUE"""),553537.0)</f>
        <v>553537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IFERROR(__xludf.DUMMYFUNCTION("""COMPUTED_VALUE"""),10.98)</f>
        <v>10.98</v>
      </c>
      <c r="C115" s="1">
        <f>IFERROR(__xludf.DUMMYFUNCTION("""COMPUTED_VALUE"""),11.43)</f>
        <v>11.43</v>
      </c>
      <c r="D115" s="1">
        <f>IFERROR(__xludf.DUMMYFUNCTION("""COMPUTED_VALUE"""),10.9)</f>
        <v>10.9</v>
      </c>
      <c r="E115" s="1">
        <f>IFERROR(__xludf.DUMMYFUNCTION("""COMPUTED_VALUE"""),11.36)</f>
        <v>11.36</v>
      </c>
      <c r="F115" s="1">
        <f>IFERROR(__xludf.DUMMYFUNCTION("""COMPUTED_VALUE"""),650753.0)</f>
        <v>650753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IFERROR(__xludf.DUMMYFUNCTION("""COMPUTED_VALUE"""),11.41)</f>
        <v>11.41</v>
      </c>
      <c r="C116" s="1">
        <f>IFERROR(__xludf.DUMMYFUNCTION("""COMPUTED_VALUE"""),11.5)</f>
        <v>11.5</v>
      </c>
      <c r="D116" s="1">
        <f>IFERROR(__xludf.DUMMYFUNCTION("""COMPUTED_VALUE"""),10.98)</f>
        <v>10.98</v>
      </c>
      <c r="E116" s="1">
        <f>IFERROR(__xludf.DUMMYFUNCTION("""COMPUTED_VALUE"""),11.0)</f>
        <v>11</v>
      </c>
      <c r="F116" s="1">
        <f>IFERROR(__xludf.DUMMYFUNCTION("""COMPUTED_VALUE"""),899515.0)</f>
        <v>899515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IFERROR(__xludf.DUMMYFUNCTION("""COMPUTED_VALUE"""),11.09)</f>
        <v>11.09</v>
      </c>
      <c r="C117" s="1">
        <f>IFERROR(__xludf.DUMMYFUNCTION("""COMPUTED_VALUE"""),11.27)</f>
        <v>11.27</v>
      </c>
      <c r="D117" s="1">
        <f>IFERROR(__xludf.DUMMYFUNCTION("""COMPUTED_VALUE"""),10.8)</f>
        <v>10.8</v>
      </c>
      <c r="E117" s="1">
        <f>IFERROR(__xludf.DUMMYFUNCTION("""COMPUTED_VALUE"""),11.24)</f>
        <v>11.24</v>
      </c>
      <c r="F117" s="1">
        <f>IFERROR(__xludf.DUMMYFUNCTION("""COMPUTED_VALUE"""),791975.0)</f>
        <v>791975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IFERROR(__xludf.DUMMYFUNCTION("""COMPUTED_VALUE"""),11.42)</f>
        <v>11.42</v>
      </c>
      <c r="C118" s="1">
        <f>IFERROR(__xludf.DUMMYFUNCTION("""COMPUTED_VALUE"""),11.55)</f>
        <v>11.55</v>
      </c>
      <c r="D118" s="1">
        <f>IFERROR(__xludf.DUMMYFUNCTION("""COMPUTED_VALUE"""),11.21)</f>
        <v>11.21</v>
      </c>
      <c r="E118" s="1">
        <f>IFERROR(__xludf.DUMMYFUNCTION("""COMPUTED_VALUE"""),11.28)</f>
        <v>11.28</v>
      </c>
      <c r="F118" s="1">
        <f>IFERROR(__xludf.DUMMYFUNCTION("""COMPUTED_VALUE"""),372823.0)</f>
        <v>372823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IFERROR(__xludf.DUMMYFUNCTION("""COMPUTED_VALUE"""),11.35)</f>
        <v>11.35</v>
      </c>
      <c r="C119" s="1">
        <f>IFERROR(__xludf.DUMMYFUNCTION("""COMPUTED_VALUE"""),11.47)</f>
        <v>11.47</v>
      </c>
      <c r="D119" s="1">
        <f>IFERROR(__xludf.DUMMYFUNCTION("""COMPUTED_VALUE"""),10.98)</f>
        <v>10.98</v>
      </c>
      <c r="E119" s="1">
        <f>IFERROR(__xludf.DUMMYFUNCTION("""COMPUTED_VALUE"""),10.98)</f>
        <v>10.98</v>
      </c>
      <c r="F119" s="1">
        <f>IFERROR(__xludf.DUMMYFUNCTION("""COMPUTED_VALUE"""),608609.0)</f>
        <v>608609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IFERROR(__xludf.DUMMYFUNCTION("""COMPUTED_VALUE"""),10.99)</f>
        <v>10.99</v>
      </c>
      <c r="C120" s="1">
        <f>IFERROR(__xludf.DUMMYFUNCTION("""COMPUTED_VALUE"""),11.19)</f>
        <v>11.19</v>
      </c>
      <c r="D120" s="1">
        <f>IFERROR(__xludf.DUMMYFUNCTION("""COMPUTED_VALUE"""),10.85)</f>
        <v>10.85</v>
      </c>
      <c r="E120" s="1">
        <f>IFERROR(__xludf.DUMMYFUNCTION("""COMPUTED_VALUE"""),10.95)</f>
        <v>10.95</v>
      </c>
      <c r="F120" s="1">
        <f>IFERROR(__xludf.DUMMYFUNCTION("""COMPUTED_VALUE"""),311333.0)</f>
        <v>311333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IFERROR(__xludf.DUMMYFUNCTION("""COMPUTED_VALUE"""),10.85)</f>
        <v>10.85</v>
      </c>
      <c r="C121" s="1">
        <f>IFERROR(__xludf.DUMMYFUNCTION("""COMPUTED_VALUE"""),11.05)</f>
        <v>11.05</v>
      </c>
      <c r="D121" s="1">
        <f>IFERROR(__xludf.DUMMYFUNCTION("""COMPUTED_VALUE"""),10.72)</f>
        <v>10.72</v>
      </c>
      <c r="E121" s="1">
        <f>IFERROR(__xludf.DUMMYFUNCTION("""COMPUTED_VALUE"""),10.75)</f>
        <v>10.75</v>
      </c>
      <c r="F121" s="1">
        <f>IFERROR(__xludf.DUMMYFUNCTION("""COMPUTED_VALUE"""),524215.0)</f>
        <v>524215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IFERROR(__xludf.DUMMYFUNCTION("""COMPUTED_VALUE"""),10.83)</f>
        <v>10.83</v>
      </c>
      <c r="C122" s="1">
        <f>IFERROR(__xludf.DUMMYFUNCTION("""COMPUTED_VALUE"""),11.24)</f>
        <v>11.24</v>
      </c>
      <c r="D122" s="1">
        <f>IFERROR(__xludf.DUMMYFUNCTION("""COMPUTED_VALUE"""),10.7)</f>
        <v>10.7</v>
      </c>
      <c r="E122" s="1">
        <f>IFERROR(__xludf.DUMMYFUNCTION("""COMPUTED_VALUE"""),11.15)</f>
        <v>11.15</v>
      </c>
      <c r="F122" s="1">
        <f>IFERROR(__xludf.DUMMYFUNCTION("""COMPUTED_VALUE"""),2284617.0)</f>
        <v>2284617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IFERROR(__xludf.DUMMYFUNCTION("""COMPUTED_VALUE"""),11.11)</f>
        <v>11.11</v>
      </c>
      <c r="C123" s="1">
        <f>IFERROR(__xludf.DUMMYFUNCTION("""COMPUTED_VALUE"""),11.24)</f>
        <v>11.24</v>
      </c>
      <c r="D123" s="1">
        <f>IFERROR(__xludf.DUMMYFUNCTION("""COMPUTED_VALUE"""),10.81)</f>
        <v>10.81</v>
      </c>
      <c r="E123" s="1">
        <f>IFERROR(__xludf.DUMMYFUNCTION("""COMPUTED_VALUE"""),10.94)</f>
        <v>10.94</v>
      </c>
      <c r="F123" s="1">
        <f>IFERROR(__xludf.DUMMYFUNCTION("""COMPUTED_VALUE"""),440406.0)</f>
        <v>440406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IFERROR(__xludf.DUMMYFUNCTION("""COMPUTED_VALUE"""),10.74)</f>
        <v>10.74</v>
      </c>
      <c r="C124" s="1">
        <f>IFERROR(__xludf.DUMMYFUNCTION("""COMPUTED_VALUE"""),10.85)</f>
        <v>10.85</v>
      </c>
      <c r="D124" s="1">
        <f>IFERROR(__xludf.DUMMYFUNCTION("""COMPUTED_VALUE"""),10.31)</f>
        <v>10.31</v>
      </c>
      <c r="E124" s="1">
        <f>IFERROR(__xludf.DUMMYFUNCTION("""COMPUTED_VALUE"""),10.34)</f>
        <v>10.34</v>
      </c>
      <c r="F124" s="1">
        <f>IFERROR(__xludf.DUMMYFUNCTION("""COMPUTED_VALUE"""),714328.0)</f>
        <v>714328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IFERROR(__xludf.DUMMYFUNCTION("""COMPUTED_VALUE"""),10.33)</f>
        <v>10.33</v>
      </c>
      <c r="C125" s="1">
        <f>IFERROR(__xludf.DUMMYFUNCTION("""COMPUTED_VALUE"""),10.66)</f>
        <v>10.66</v>
      </c>
      <c r="D125" s="1">
        <f>IFERROR(__xludf.DUMMYFUNCTION("""COMPUTED_VALUE"""),10.26)</f>
        <v>10.26</v>
      </c>
      <c r="E125" s="1">
        <f>IFERROR(__xludf.DUMMYFUNCTION("""COMPUTED_VALUE"""),10.33)</f>
        <v>10.33</v>
      </c>
      <c r="F125" s="1">
        <f>IFERROR(__xludf.DUMMYFUNCTION("""COMPUTED_VALUE"""),797570.0)</f>
        <v>797570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IFERROR(__xludf.DUMMYFUNCTION("""COMPUTED_VALUE"""),10.31)</f>
        <v>10.31</v>
      </c>
      <c r="C126" s="1">
        <f>IFERROR(__xludf.DUMMYFUNCTION("""COMPUTED_VALUE"""),10.54)</f>
        <v>10.54</v>
      </c>
      <c r="D126" s="1">
        <f>IFERROR(__xludf.DUMMYFUNCTION("""COMPUTED_VALUE"""),9.94)</f>
        <v>9.94</v>
      </c>
      <c r="E126" s="1">
        <f>IFERROR(__xludf.DUMMYFUNCTION("""COMPUTED_VALUE"""),10.28)</f>
        <v>10.28</v>
      </c>
      <c r="F126" s="1">
        <f>IFERROR(__xludf.DUMMYFUNCTION("""COMPUTED_VALUE"""),1020333.0)</f>
        <v>1020333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IFERROR(__xludf.DUMMYFUNCTION("""COMPUTED_VALUE"""),10.37)</f>
        <v>10.37</v>
      </c>
      <c r="C127" s="1">
        <f>IFERROR(__xludf.DUMMYFUNCTION("""COMPUTED_VALUE"""),10.43)</f>
        <v>10.43</v>
      </c>
      <c r="D127" s="1">
        <f>IFERROR(__xludf.DUMMYFUNCTION("""COMPUTED_VALUE"""),9.82)</f>
        <v>9.82</v>
      </c>
      <c r="E127" s="1">
        <f>IFERROR(__xludf.DUMMYFUNCTION("""COMPUTED_VALUE"""),9.9)</f>
        <v>9.9</v>
      </c>
      <c r="F127" s="1">
        <f>IFERROR(__xludf.DUMMYFUNCTION("""COMPUTED_VALUE"""),458827.0)</f>
        <v>458827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IFERROR(__xludf.DUMMYFUNCTION("""COMPUTED_VALUE"""),10.07)</f>
        <v>10.07</v>
      </c>
      <c r="C128" s="1">
        <f>IFERROR(__xludf.DUMMYFUNCTION("""COMPUTED_VALUE"""),10.4)</f>
        <v>10.4</v>
      </c>
      <c r="D128" s="1">
        <f>IFERROR(__xludf.DUMMYFUNCTION("""COMPUTED_VALUE"""),9.69)</f>
        <v>9.69</v>
      </c>
      <c r="E128" s="1">
        <f>IFERROR(__xludf.DUMMYFUNCTION("""COMPUTED_VALUE"""),9.77)</f>
        <v>9.77</v>
      </c>
      <c r="F128" s="1">
        <f>IFERROR(__xludf.DUMMYFUNCTION("""COMPUTED_VALUE"""),715020.0)</f>
        <v>715020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IFERROR(__xludf.DUMMYFUNCTION("""COMPUTED_VALUE"""),9.79)</f>
        <v>9.79</v>
      </c>
      <c r="C129" s="1">
        <f>IFERROR(__xludf.DUMMYFUNCTION("""COMPUTED_VALUE"""),10.5)</f>
        <v>10.5</v>
      </c>
      <c r="D129" s="1">
        <f>IFERROR(__xludf.DUMMYFUNCTION("""COMPUTED_VALUE"""),9.74)</f>
        <v>9.74</v>
      </c>
      <c r="E129" s="1">
        <f>IFERROR(__xludf.DUMMYFUNCTION("""COMPUTED_VALUE"""),10.49)</f>
        <v>10.49</v>
      </c>
      <c r="F129" s="1">
        <f>IFERROR(__xludf.DUMMYFUNCTION("""COMPUTED_VALUE"""),668481.0)</f>
        <v>668481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IFERROR(__xludf.DUMMYFUNCTION("""COMPUTED_VALUE"""),10.63)</f>
        <v>10.63</v>
      </c>
      <c r="C130" s="1">
        <f>IFERROR(__xludf.DUMMYFUNCTION("""COMPUTED_VALUE"""),10.66)</f>
        <v>10.66</v>
      </c>
      <c r="D130" s="1">
        <f>IFERROR(__xludf.DUMMYFUNCTION("""COMPUTED_VALUE"""),10.4)</f>
        <v>10.4</v>
      </c>
      <c r="E130" s="1">
        <f>IFERROR(__xludf.DUMMYFUNCTION("""COMPUTED_VALUE"""),10.6)</f>
        <v>10.6</v>
      </c>
      <c r="F130" s="1">
        <f>IFERROR(__xludf.DUMMYFUNCTION("""COMPUTED_VALUE"""),499131.0)</f>
        <v>499131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IFERROR(__xludf.DUMMYFUNCTION("""COMPUTED_VALUE"""),10.61)</f>
        <v>10.61</v>
      </c>
      <c r="C131" s="1">
        <f>IFERROR(__xludf.DUMMYFUNCTION("""COMPUTED_VALUE"""),11.56)</f>
        <v>11.56</v>
      </c>
      <c r="D131" s="1">
        <f>IFERROR(__xludf.DUMMYFUNCTION("""COMPUTED_VALUE"""),10.57)</f>
        <v>10.57</v>
      </c>
      <c r="E131" s="1">
        <f>IFERROR(__xludf.DUMMYFUNCTION("""COMPUTED_VALUE"""),11.4)</f>
        <v>11.4</v>
      </c>
      <c r="F131" s="1">
        <f>IFERROR(__xludf.DUMMYFUNCTION("""COMPUTED_VALUE"""),1058609.0)</f>
        <v>1058609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IFERROR(__xludf.DUMMYFUNCTION("""COMPUTED_VALUE"""),11.35)</f>
        <v>11.35</v>
      </c>
      <c r="C132" s="1">
        <f>IFERROR(__xludf.DUMMYFUNCTION("""COMPUTED_VALUE"""),11.41)</f>
        <v>11.41</v>
      </c>
      <c r="D132" s="1">
        <f>IFERROR(__xludf.DUMMYFUNCTION("""COMPUTED_VALUE"""),11.09)</f>
        <v>11.09</v>
      </c>
      <c r="E132" s="1">
        <f>IFERROR(__xludf.DUMMYFUNCTION("""COMPUTED_VALUE"""),11.26)</f>
        <v>11.26</v>
      </c>
      <c r="F132" s="1">
        <f>IFERROR(__xludf.DUMMYFUNCTION("""COMPUTED_VALUE"""),331229.0)</f>
        <v>331229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IFERROR(__xludf.DUMMYFUNCTION("""COMPUTED_VALUE"""),11.42)</f>
        <v>11.42</v>
      </c>
      <c r="C133" s="1">
        <f>IFERROR(__xludf.DUMMYFUNCTION("""COMPUTED_VALUE"""),11.99)</f>
        <v>11.99</v>
      </c>
      <c r="D133" s="1">
        <f>IFERROR(__xludf.DUMMYFUNCTION("""COMPUTED_VALUE"""),11.35)</f>
        <v>11.35</v>
      </c>
      <c r="E133" s="1">
        <f>IFERROR(__xludf.DUMMYFUNCTION("""COMPUTED_VALUE"""),11.92)</f>
        <v>11.92</v>
      </c>
      <c r="F133" s="1">
        <f>IFERROR(__xludf.DUMMYFUNCTION("""COMPUTED_VALUE"""),922061.0)</f>
        <v>922061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IFERROR(__xludf.DUMMYFUNCTION("""COMPUTED_VALUE"""),11.85)</f>
        <v>11.85</v>
      </c>
      <c r="C134" s="1">
        <f>IFERROR(__xludf.DUMMYFUNCTION("""COMPUTED_VALUE"""),11.85)</f>
        <v>11.85</v>
      </c>
      <c r="D134" s="1">
        <f>IFERROR(__xludf.DUMMYFUNCTION("""COMPUTED_VALUE"""),11.46)</f>
        <v>11.46</v>
      </c>
      <c r="E134" s="1">
        <f>IFERROR(__xludf.DUMMYFUNCTION("""COMPUTED_VALUE"""),11.6)</f>
        <v>11.6</v>
      </c>
      <c r="F134" s="1">
        <f>IFERROR(__xludf.DUMMYFUNCTION("""COMPUTED_VALUE"""),361058.0)</f>
        <v>361058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IFERROR(__xludf.DUMMYFUNCTION("""COMPUTED_VALUE"""),11.58)</f>
        <v>11.58</v>
      </c>
      <c r="C135" s="1">
        <f>IFERROR(__xludf.DUMMYFUNCTION("""COMPUTED_VALUE"""),11.64)</f>
        <v>11.64</v>
      </c>
      <c r="D135" s="1">
        <f>IFERROR(__xludf.DUMMYFUNCTION("""COMPUTED_VALUE"""),11.18)</f>
        <v>11.18</v>
      </c>
      <c r="E135" s="1">
        <f>IFERROR(__xludf.DUMMYFUNCTION("""COMPUTED_VALUE"""),11.54)</f>
        <v>11.54</v>
      </c>
      <c r="F135" s="1">
        <f>IFERROR(__xludf.DUMMYFUNCTION("""COMPUTED_VALUE"""),432091.0)</f>
        <v>432091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IFERROR(__xludf.DUMMYFUNCTION("""COMPUTED_VALUE"""),11.42)</f>
        <v>11.42</v>
      </c>
      <c r="C136" s="1">
        <f>IFERROR(__xludf.DUMMYFUNCTION("""COMPUTED_VALUE"""),11.6)</f>
        <v>11.6</v>
      </c>
      <c r="D136" s="1">
        <f>IFERROR(__xludf.DUMMYFUNCTION("""COMPUTED_VALUE"""),10.91)</f>
        <v>10.91</v>
      </c>
      <c r="E136" s="1">
        <f>IFERROR(__xludf.DUMMYFUNCTION("""COMPUTED_VALUE"""),11.05)</f>
        <v>11.05</v>
      </c>
      <c r="F136" s="1">
        <f>IFERROR(__xludf.DUMMYFUNCTION("""COMPUTED_VALUE"""),995371.0)</f>
        <v>995371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IFERROR(__xludf.DUMMYFUNCTION("""COMPUTED_VALUE"""),11.04)</f>
        <v>11.04</v>
      </c>
      <c r="C137" s="1">
        <f>IFERROR(__xludf.DUMMYFUNCTION("""COMPUTED_VALUE"""),11.17)</f>
        <v>11.17</v>
      </c>
      <c r="D137" s="1">
        <f>IFERROR(__xludf.DUMMYFUNCTION("""COMPUTED_VALUE"""),10.62)</f>
        <v>10.62</v>
      </c>
      <c r="E137" s="1">
        <f>IFERROR(__xludf.DUMMYFUNCTION("""COMPUTED_VALUE"""),10.86)</f>
        <v>10.86</v>
      </c>
      <c r="F137" s="1">
        <f>IFERROR(__xludf.DUMMYFUNCTION("""COMPUTED_VALUE"""),410800.0)</f>
        <v>410800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IFERROR(__xludf.DUMMYFUNCTION("""COMPUTED_VALUE"""),10.66)</f>
        <v>10.66</v>
      </c>
      <c r="C138" s="1">
        <f>IFERROR(__xludf.DUMMYFUNCTION("""COMPUTED_VALUE"""),10.98)</f>
        <v>10.98</v>
      </c>
      <c r="D138" s="1">
        <f>IFERROR(__xludf.DUMMYFUNCTION("""COMPUTED_VALUE"""),10.51)</f>
        <v>10.51</v>
      </c>
      <c r="E138" s="1">
        <f>IFERROR(__xludf.DUMMYFUNCTION("""COMPUTED_VALUE"""),10.96)</f>
        <v>10.96</v>
      </c>
      <c r="F138" s="1">
        <f>IFERROR(__xludf.DUMMYFUNCTION("""COMPUTED_VALUE"""),411038.0)</f>
        <v>411038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IFERROR(__xludf.DUMMYFUNCTION("""COMPUTED_VALUE"""),11.09)</f>
        <v>11.09</v>
      </c>
      <c r="C139" s="1">
        <f>IFERROR(__xludf.DUMMYFUNCTION("""COMPUTED_VALUE"""),11.2)</f>
        <v>11.2</v>
      </c>
      <c r="D139" s="1">
        <f>IFERROR(__xludf.DUMMYFUNCTION("""COMPUTED_VALUE"""),10.35)</f>
        <v>10.35</v>
      </c>
      <c r="E139" s="1">
        <f>IFERROR(__xludf.DUMMYFUNCTION("""COMPUTED_VALUE"""),10.36)</f>
        <v>10.36</v>
      </c>
      <c r="F139" s="1">
        <f>IFERROR(__xludf.DUMMYFUNCTION("""COMPUTED_VALUE"""),494305.0)</f>
        <v>494305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IFERROR(__xludf.DUMMYFUNCTION("""COMPUTED_VALUE"""),10.59)</f>
        <v>10.59</v>
      </c>
      <c r="C140" s="1">
        <f>IFERROR(__xludf.DUMMYFUNCTION("""COMPUTED_VALUE"""),11.27)</f>
        <v>11.27</v>
      </c>
      <c r="D140" s="1">
        <f>IFERROR(__xludf.DUMMYFUNCTION("""COMPUTED_VALUE"""),10.59)</f>
        <v>10.59</v>
      </c>
      <c r="E140" s="1">
        <f>IFERROR(__xludf.DUMMYFUNCTION("""COMPUTED_VALUE"""),11.23)</f>
        <v>11.23</v>
      </c>
      <c r="F140" s="1">
        <f>IFERROR(__xludf.DUMMYFUNCTION("""COMPUTED_VALUE"""),615163.0)</f>
        <v>615163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IFERROR(__xludf.DUMMYFUNCTION("""COMPUTED_VALUE"""),11.14)</f>
        <v>11.14</v>
      </c>
      <c r="C141" s="1">
        <f>IFERROR(__xludf.DUMMYFUNCTION("""COMPUTED_VALUE"""),11.38)</f>
        <v>11.38</v>
      </c>
      <c r="D141" s="1">
        <f>IFERROR(__xludf.DUMMYFUNCTION("""COMPUTED_VALUE"""),10.93)</f>
        <v>10.93</v>
      </c>
      <c r="E141" s="1">
        <f>IFERROR(__xludf.DUMMYFUNCTION("""COMPUTED_VALUE"""),11.33)</f>
        <v>11.33</v>
      </c>
      <c r="F141" s="1">
        <f>IFERROR(__xludf.DUMMYFUNCTION("""COMPUTED_VALUE"""),857979.0)</f>
        <v>857979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IFERROR(__xludf.DUMMYFUNCTION("""COMPUTED_VALUE"""),11.28)</f>
        <v>11.28</v>
      </c>
      <c r="C142" s="1">
        <f>IFERROR(__xludf.DUMMYFUNCTION("""COMPUTED_VALUE"""),11.87)</f>
        <v>11.87</v>
      </c>
      <c r="D142" s="1">
        <f>IFERROR(__xludf.DUMMYFUNCTION("""COMPUTED_VALUE"""),11.09)</f>
        <v>11.09</v>
      </c>
      <c r="E142" s="1">
        <f>IFERROR(__xludf.DUMMYFUNCTION("""COMPUTED_VALUE"""),11.81)</f>
        <v>11.81</v>
      </c>
      <c r="F142" s="1">
        <f>IFERROR(__xludf.DUMMYFUNCTION("""COMPUTED_VALUE"""),455660.0)</f>
        <v>455660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IFERROR(__xludf.DUMMYFUNCTION("""COMPUTED_VALUE"""),11.95)</f>
        <v>11.95</v>
      </c>
      <c r="C143" s="1">
        <f>IFERROR(__xludf.DUMMYFUNCTION("""COMPUTED_VALUE"""),12.4)</f>
        <v>12.4</v>
      </c>
      <c r="D143" s="1">
        <f>IFERROR(__xludf.DUMMYFUNCTION("""COMPUTED_VALUE"""),11.84)</f>
        <v>11.84</v>
      </c>
      <c r="E143" s="1">
        <f>IFERROR(__xludf.DUMMYFUNCTION("""COMPUTED_VALUE"""),12.28)</f>
        <v>12.28</v>
      </c>
      <c r="F143" s="1">
        <f>IFERROR(__xludf.DUMMYFUNCTION("""COMPUTED_VALUE"""),1356884.0)</f>
        <v>1356884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IFERROR(__xludf.DUMMYFUNCTION("""COMPUTED_VALUE"""),12.3)</f>
        <v>12.3</v>
      </c>
      <c r="C144" s="1">
        <f>IFERROR(__xludf.DUMMYFUNCTION("""COMPUTED_VALUE"""),12.58)</f>
        <v>12.58</v>
      </c>
      <c r="D144" s="1">
        <f>IFERROR(__xludf.DUMMYFUNCTION("""COMPUTED_VALUE"""),11.57)</f>
        <v>11.57</v>
      </c>
      <c r="E144" s="1">
        <f>IFERROR(__xludf.DUMMYFUNCTION("""COMPUTED_VALUE"""),11.67)</f>
        <v>11.67</v>
      </c>
      <c r="F144" s="1">
        <f>IFERROR(__xludf.DUMMYFUNCTION("""COMPUTED_VALUE"""),1657391.0)</f>
        <v>1657391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IFERROR(__xludf.DUMMYFUNCTION("""COMPUTED_VALUE"""),11.88)</f>
        <v>11.88</v>
      </c>
      <c r="C145" s="1">
        <f>IFERROR(__xludf.DUMMYFUNCTION("""COMPUTED_VALUE"""),11.91)</f>
        <v>11.91</v>
      </c>
      <c r="D145" s="1">
        <f>IFERROR(__xludf.DUMMYFUNCTION("""COMPUTED_VALUE"""),11.35)</f>
        <v>11.35</v>
      </c>
      <c r="E145" s="1">
        <f>IFERROR(__xludf.DUMMYFUNCTION("""COMPUTED_VALUE"""),11.58)</f>
        <v>11.58</v>
      </c>
      <c r="F145" s="1">
        <f>IFERROR(__xludf.DUMMYFUNCTION("""COMPUTED_VALUE"""),595627.0)</f>
        <v>595627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IFERROR(__xludf.DUMMYFUNCTION("""COMPUTED_VALUE"""),11.32)</f>
        <v>11.32</v>
      </c>
      <c r="C146" s="1">
        <f>IFERROR(__xludf.DUMMYFUNCTION("""COMPUTED_VALUE"""),11.84)</f>
        <v>11.84</v>
      </c>
      <c r="D146" s="1">
        <f>IFERROR(__xludf.DUMMYFUNCTION("""COMPUTED_VALUE"""),11.29)</f>
        <v>11.29</v>
      </c>
      <c r="E146" s="1">
        <f>IFERROR(__xludf.DUMMYFUNCTION("""COMPUTED_VALUE"""),11.76)</f>
        <v>11.76</v>
      </c>
      <c r="F146" s="1">
        <f>IFERROR(__xludf.DUMMYFUNCTION("""COMPUTED_VALUE"""),562747.0)</f>
        <v>562747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IFERROR(__xludf.DUMMYFUNCTION("""COMPUTED_VALUE"""),11.98)</f>
        <v>11.98</v>
      </c>
      <c r="C147" s="1">
        <f>IFERROR(__xludf.DUMMYFUNCTION("""COMPUTED_VALUE"""),12.22)</f>
        <v>12.22</v>
      </c>
      <c r="D147" s="1">
        <f>IFERROR(__xludf.DUMMYFUNCTION("""COMPUTED_VALUE"""),11.8)</f>
        <v>11.8</v>
      </c>
      <c r="E147" s="1">
        <f>IFERROR(__xludf.DUMMYFUNCTION("""COMPUTED_VALUE"""),12.21)</f>
        <v>12.21</v>
      </c>
      <c r="F147" s="1">
        <f>IFERROR(__xludf.DUMMYFUNCTION("""COMPUTED_VALUE"""),598757.0)</f>
        <v>598757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IFERROR(__xludf.DUMMYFUNCTION("""COMPUTED_VALUE"""),12.13)</f>
        <v>12.13</v>
      </c>
      <c r="C148" s="1">
        <f>IFERROR(__xludf.DUMMYFUNCTION("""COMPUTED_VALUE"""),12.25)</f>
        <v>12.25</v>
      </c>
      <c r="D148" s="1">
        <f>IFERROR(__xludf.DUMMYFUNCTION("""COMPUTED_VALUE"""),11.92)</f>
        <v>11.92</v>
      </c>
      <c r="E148" s="1">
        <f>IFERROR(__xludf.DUMMYFUNCTION("""COMPUTED_VALUE"""),11.99)</f>
        <v>11.99</v>
      </c>
      <c r="F148" s="1">
        <f>IFERROR(__xludf.DUMMYFUNCTION("""COMPUTED_VALUE"""),614831.0)</f>
        <v>614831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IFERROR(__xludf.DUMMYFUNCTION("""COMPUTED_VALUE"""),12.02)</f>
        <v>12.02</v>
      </c>
      <c r="C149" s="1">
        <f>IFERROR(__xludf.DUMMYFUNCTION("""COMPUTED_VALUE"""),12.34)</f>
        <v>12.34</v>
      </c>
      <c r="D149" s="1">
        <f>IFERROR(__xludf.DUMMYFUNCTION("""COMPUTED_VALUE"""),11.96)</f>
        <v>11.96</v>
      </c>
      <c r="E149" s="1">
        <f>IFERROR(__xludf.DUMMYFUNCTION("""COMPUTED_VALUE"""),12.15)</f>
        <v>12.15</v>
      </c>
      <c r="F149" s="1">
        <f>IFERROR(__xludf.DUMMYFUNCTION("""COMPUTED_VALUE"""),444395.0)</f>
        <v>444395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IFERROR(__xludf.DUMMYFUNCTION("""COMPUTED_VALUE"""),12.04)</f>
        <v>12.04</v>
      </c>
      <c r="C150" s="1">
        <f>IFERROR(__xludf.DUMMYFUNCTION("""COMPUTED_VALUE"""),12.18)</f>
        <v>12.18</v>
      </c>
      <c r="D150" s="1">
        <f>IFERROR(__xludf.DUMMYFUNCTION("""COMPUTED_VALUE"""),11.75)</f>
        <v>11.75</v>
      </c>
      <c r="E150" s="1">
        <f>IFERROR(__xludf.DUMMYFUNCTION("""COMPUTED_VALUE"""),11.83)</f>
        <v>11.83</v>
      </c>
      <c r="F150" s="1">
        <f>IFERROR(__xludf.DUMMYFUNCTION("""COMPUTED_VALUE"""),572290.0)</f>
        <v>572290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IFERROR(__xludf.DUMMYFUNCTION("""COMPUTED_VALUE"""),11.65)</f>
        <v>11.65</v>
      </c>
      <c r="C151" s="1">
        <f>IFERROR(__xludf.DUMMYFUNCTION("""COMPUTED_VALUE"""),11.87)</f>
        <v>11.87</v>
      </c>
      <c r="D151" s="1">
        <f>IFERROR(__xludf.DUMMYFUNCTION("""COMPUTED_VALUE"""),11.56)</f>
        <v>11.56</v>
      </c>
      <c r="E151" s="1">
        <f>IFERROR(__xludf.DUMMYFUNCTION("""COMPUTED_VALUE"""),11.84)</f>
        <v>11.84</v>
      </c>
      <c r="F151" s="1">
        <f>IFERROR(__xludf.DUMMYFUNCTION("""COMPUTED_VALUE"""),397047.0)</f>
        <v>397047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IFERROR(__xludf.DUMMYFUNCTION("""COMPUTED_VALUE"""),11.96)</f>
        <v>11.96</v>
      </c>
      <c r="C152" s="1">
        <f>IFERROR(__xludf.DUMMYFUNCTION("""COMPUTED_VALUE"""),12.02)</f>
        <v>12.02</v>
      </c>
      <c r="D152" s="1">
        <f>IFERROR(__xludf.DUMMYFUNCTION("""COMPUTED_VALUE"""),11.69)</f>
        <v>11.69</v>
      </c>
      <c r="E152" s="1">
        <f>IFERROR(__xludf.DUMMYFUNCTION("""COMPUTED_VALUE"""),12.0)</f>
        <v>12</v>
      </c>
      <c r="F152" s="1">
        <f>IFERROR(__xludf.DUMMYFUNCTION("""COMPUTED_VALUE"""),314812.0)</f>
        <v>314812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IFERROR(__xludf.DUMMYFUNCTION("""COMPUTED_VALUE"""),11.81)</f>
        <v>11.81</v>
      </c>
      <c r="C153" s="1">
        <f>IFERROR(__xludf.DUMMYFUNCTION("""COMPUTED_VALUE"""),11.98)</f>
        <v>11.98</v>
      </c>
      <c r="D153" s="1">
        <f>IFERROR(__xludf.DUMMYFUNCTION("""COMPUTED_VALUE"""),11.62)</f>
        <v>11.62</v>
      </c>
      <c r="E153" s="1">
        <f>IFERROR(__xludf.DUMMYFUNCTION("""COMPUTED_VALUE"""),11.76)</f>
        <v>11.76</v>
      </c>
      <c r="F153" s="1">
        <f>IFERROR(__xludf.DUMMYFUNCTION("""COMPUTED_VALUE"""),523061.0)</f>
        <v>523061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IFERROR(__xludf.DUMMYFUNCTION("""COMPUTED_VALUE"""),11.53)</f>
        <v>11.53</v>
      </c>
      <c r="C154" s="1">
        <f>IFERROR(__xludf.DUMMYFUNCTION("""COMPUTED_VALUE"""),11.59)</f>
        <v>11.59</v>
      </c>
      <c r="D154" s="1">
        <f>IFERROR(__xludf.DUMMYFUNCTION("""COMPUTED_VALUE"""),11.0)</f>
        <v>11</v>
      </c>
      <c r="E154" s="1">
        <f>IFERROR(__xludf.DUMMYFUNCTION("""COMPUTED_VALUE"""),11.05)</f>
        <v>11.05</v>
      </c>
      <c r="F154" s="1">
        <f>IFERROR(__xludf.DUMMYFUNCTION("""COMPUTED_VALUE"""),718793.0)</f>
        <v>718793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IFERROR(__xludf.DUMMYFUNCTION("""COMPUTED_VALUE"""),10.86)</f>
        <v>10.86</v>
      </c>
      <c r="C155" s="1">
        <f>IFERROR(__xludf.DUMMYFUNCTION("""COMPUTED_VALUE"""),11.05)</f>
        <v>11.05</v>
      </c>
      <c r="D155" s="1">
        <f>IFERROR(__xludf.DUMMYFUNCTION("""COMPUTED_VALUE"""),10.72)</f>
        <v>10.72</v>
      </c>
      <c r="E155" s="1">
        <f>IFERROR(__xludf.DUMMYFUNCTION("""COMPUTED_VALUE"""),10.84)</f>
        <v>10.84</v>
      </c>
      <c r="F155" s="1">
        <f>IFERROR(__xludf.DUMMYFUNCTION("""COMPUTED_VALUE"""),635811.0)</f>
        <v>635811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IFERROR(__xludf.DUMMYFUNCTION("""COMPUTED_VALUE"""),10.77)</f>
        <v>10.77</v>
      </c>
      <c r="C156" s="1">
        <f>IFERROR(__xludf.DUMMYFUNCTION("""COMPUTED_VALUE"""),10.84)</f>
        <v>10.84</v>
      </c>
      <c r="D156" s="1">
        <f>IFERROR(__xludf.DUMMYFUNCTION("""COMPUTED_VALUE"""),10.44)</f>
        <v>10.44</v>
      </c>
      <c r="E156" s="1">
        <f>IFERROR(__xludf.DUMMYFUNCTION("""COMPUTED_VALUE"""),10.46)</f>
        <v>10.46</v>
      </c>
      <c r="F156" s="1">
        <f>IFERROR(__xludf.DUMMYFUNCTION("""COMPUTED_VALUE"""),522149.0)</f>
        <v>522149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IFERROR(__xludf.DUMMYFUNCTION("""COMPUTED_VALUE"""),10.41)</f>
        <v>10.41</v>
      </c>
      <c r="C157" s="1">
        <f>IFERROR(__xludf.DUMMYFUNCTION("""COMPUTED_VALUE"""),10.7)</f>
        <v>10.7</v>
      </c>
      <c r="D157" s="1">
        <f>IFERROR(__xludf.DUMMYFUNCTION("""COMPUTED_VALUE"""),10.35)</f>
        <v>10.35</v>
      </c>
      <c r="E157" s="1">
        <f>IFERROR(__xludf.DUMMYFUNCTION("""COMPUTED_VALUE"""),10.57)</f>
        <v>10.57</v>
      </c>
      <c r="F157" s="1">
        <f>IFERROR(__xludf.DUMMYFUNCTION("""COMPUTED_VALUE"""),358076.0)</f>
        <v>358076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IFERROR(__xludf.DUMMYFUNCTION("""COMPUTED_VALUE"""),10.73)</f>
        <v>10.73</v>
      </c>
      <c r="C158" s="1">
        <f>IFERROR(__xludf.DUMMYFUNCTION("""COMPUTED_VALUE"""),10.83)</f>
        <v>10.83</v>
      </c>
      <c r="D158" s="1">
        <f>IFERROR(__xludf.DUMMYFUNCTION("""COMPUTED_VALUE"""),10.49)</f>
        <v>10.49</v>
      </c>
      <c r="E158" s="1">
        <f>IFERROR(__xludf.DUMMYFUNCTION("""COMPUTED_VALUE"""),10.66)</f>
        <v>10.66</v>
      </c>
      <c r="F158" s="1">
        <f>IFERROR(__xludf.DUMMYFUNCTION("""COMPUTED_VALUE"""),324762.0)</f>
        <v>324762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IFERROR(__xludf.DUMMYFUNCTION("""COMPUTED_VALUE"""),10.61)</f>
        <v>10.61</v>
      </c>
      <c r="C159" s="1">
        <f>IFERROR(__xludf.DUMMYFUNCTION("""COMPUTED_VALUE"""),10.74)</f>
        <v>10.74</v>
      </c>
      <c r="D159" s="1">
        <f>IFERROR(__xludf.DUMMYFUNCTION("""COMPUTED_VALUE"""),10.47)</f>
        <v>10.47</v>
      </c>
      <c r="E159" s="1">
        <f>IFERROR(__xludf.DUMMYFUNCTION("""COMPUTED_VALUE"""),10.55)</f>
        <v>10.55</v>
      </c>
      <c r="F159" s="1">
        <f>IFERROR(__xludf.DUMMYFUNCTION("""COMPUTED_VALUE"""),332256.0)</f>
        <v>332256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IFERROR(__xludf.DUMMYFUNCTION("""COMPUTED_VALUE"""),10.5)</f>
        <v>10.5</v>
      </c>
      <c r="C160" s="1">
        <f>IFERROR(__xludf.DUMMYFUNCTION("""COMPUTED_VALUE"""),10.61)</f>
        <v>10.61</v>
      </c>
      <c r="D160" s="1">
        <f>IFERROR(__xludf.DUMMYFUNCTION("""COMPUTED_VALUE"""),10.03)</f>
        <v>10.03</v>
      </c>
      <c r="E160" s="1">
        <f>IFERROR(__xludf.DUMMYFUNCTION("""COMPUTED_VALUE"""),10.24)</f>
        <v>10.24</v>
      </c>
      <c r="F160" s="1">
        <f>IFERROR(__xludf.DUMMYFUNCTION("""COMPUTED_VALUE"""),710006.0)</f>
        <v>710006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IFERROR(__xludf.DUMMYFUNCTION("""COMPUTED_VALUE"""),10.16)</f>
        <v>10.16</v>
      </c>
      <c r="C161" s="1">
        <f>IFERROR(__xludf.DUMMYFUNCTION("""COMPUTED_VALUE"""),10.25)</f>
        <v>10.25</v>
      </c>
      <c r="D161" s="1">
        <f>IFERROR(__xludf.DUMMYFUNCTION("""COMPUTED_VALUE"""),9.81)</f>
        <v>9.81</v>
      </c>
      <c r="E161" s="1">
        <f>IFERROR(__xludf.DUMMYFUNCTION("""COMPUTED_VALUE"""),10.17)</f>
        <v>10.17</v>
      </c>
      <c r="F161" s="1">
        <f>IFERROR(__xludf.DUMMYFUNCTION("""COMPUTED_VALUE"""),663520.0)</f>
        <v>663520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IFERROR(__xludf.DUMMYFUNCTION("""COMPUTED_VALUE"""),10.28)</f>
        <v>10.28</v>
      </c>
      <c r="C162" s="1">
        <f>IFERROR(__xludf.DUMMYFUNCTION("""COMPUTED_VALUE"""),10.54)</f>
        <v>10.54</v>
      </c>
      <c r="D162" s="1">
        <f>IFERROR(__xludf.DUMMYFUNCTION("""COMPUTED_VALUE"""),9.82)</f>
        <v>9.82</v>
      </c>
      <c r="E162" s="1">
        <f>IFERROR(__xludf.DUMMYFUNCTION("""COMPUTED_VALUE"""),9.82)</f>
        <v>9.82</v>
      </c>
      <c r="F162" s="1">
        <f>IFERROR(__xludf.DUMMYFUNCTION("""COMPUTED_VALUE"""),717433.0)</f>
        <v>717433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IFERROR(__xludf.DUMMYFUNCTION("""COMPUTED_VALUE"""),9.8)</f>
        <v>9.8</v>
      </c>
      <c r="C163" s="1">
        <f>IFERROR(__xludf.DUMMYFUNCTION("""COMPUTED_VALUE"""),10.02)</f>
        <v>10.02</v>
      </c>
      <c r="D163" s="1">
        <f>IFERROR(__xludf.DUMMYFUNCTION("""COMPUTED_VALUE"""),9.54)</f>
        <v>9.54</v>
      </c>
      <c r="E163" s="1">
        <f>IFERROR(__xludf.DUMMYFUNCTION("""COMPUTED_VALUE"""),9.81)</f>
        <v>9.81</v>
      </c>
      <c r="F163" s="1">
        <f>IFERROR(__xludf.DUMMYFUNCTION("""COMPUTED_VALUE"""),728733.0)</f>
        <v>728733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IFERROR(__xludf.DUMMYFUNCTION("""COMPUTED_VALUE"""),9.72)</f>
        <v>9.72</v>
      </c>
      <c r="C164" s="1">
        <f>IFERROR(__xludf.DUMMYFUNCTION("""COMPUTED_VALUE"""),9.95)</f>
        <v>9.95</v>
      </c>
      <c r="D164" s="1">
        <f>IFERROR(__xludf.DUMMYFUNCTION("""COMPUTED_VALUE"""),9.55)</f>
        <v>9.55</v>
      </c>
      <c r="E164" s="1">
        <f>IFERROR(__xludf.DUMMYFUNCTION("""COMPUTED_VALUE"""),9.87)</f>
        <v>9.87</v>
      </c>
      <c r="F164" s="1">
        <f>IFERROR(__xludf.DUMMYFUNCTION("""COMPUTED_VALUE"""),423513.0)</f>
        <v>423513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IFERROR(__xludf.DUMMYFUNCTION("""COMPUTED_VALUE"""),9.95)</f>
        <v>9.95</v>
      </c>
      <c r="C165" s="1">
        <f>IFERROR(__xludf.DUMMYFUNCTION("""COMPUTED_VALUE"""),10.12)</f>
        <v>10.12</v>
      </c>
      <c r="D165" s="1">
        <f>IFERROR(__xludf.DUMMYFUNCTION("""COMPUTED_VALUE"""),9.61)</f>
        <v>9.61</v>
      </c>
      <c r="E165" s="1">
        <f>IFERROR(__xludf.DUMMYFUNCTION("""COMPUTED_VALUE"""),9.67)</f>
        <v>9.67</v>
      </c>
      <c r="F165" s="1">
        <f>IFERROR(__xludf.DUMMYFUNCTION("""COMPUTED_VALUE"""),424832.0)</f>
        <v>424832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IFERROR(__xludf.DUMMYFUNCTION("""COMPUTED_VALUE"""),9.77)</f>
        <v>9.77</v>
      </c>
      <c r="C166" s="1">
        <f>IFERROR(__xludf.DUMMYFUNCTION("""COMPUTED_VALUE"""),10.03)</f>
        <v>10.03</v>
      </c>
      <c r="D166" s="1">
        <f>IFERROR(__xludf.DUMMYFUNCTION("""COMPUTED_VALUE"""),9.55)</f>
        <v>9.55</v>
      </c>
      <c r="E166" s="1">
        <f>IFERROR(__xludf.DUMMYFUNCTION("""COMPUTED_VALUE"""),10.03)</f>
        <v>10.03</v>
      </c>
      <c r="F166" s="1">
        <f>IFERROR(__xludf.DUMMYFUNCTION("""COMPUTED_VALUE"""),708314.0)</f>
        <v>708314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IFERROR(__xludf.DUMMYFUNCTION("""COMPUTED_VALUE"""),9.93)</f>
        <v>9.93</v>
      </c>
      <c r="C167" s="1">
        <f>IFERROR(__xludf.DUMMYFUNCTION("""COMPUTED_VALUE"""),10.03)</f>
        <v>10.03</v>
      </c>
      <c r="D167" s="1">
        <f>IFERROR(__xludf.DUMMYFUNCTION("""COMPUTED_VALUE"""),9.38)</f>
        <v>9.38</v>
      </c>
      <c r="E167" s="1">
        <f>IFERROR(__xludf.DUMMYFUNCTION("""COMPUTED_VALUE"""),9.39)</f>
        <v>9.39</v>
      </c>
      <c r="F167" s="1">
        <f>IFERROR(__xludf.DUMMYFUNCTION("""COMPUTED_VALUE"""),589242.0)</f>
        <v>589242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IFERROR(__xludf.DUMMYFUNCTION("""COMPUTED_VALUE"""),9.38)</f>
        <v>9.38</v>
      </c>
      <c r="C168" s="1">
        <f>IFERROR(__xludf.DUMMYFUNCTION("""COMPUTED_VALUE"""),9.65)</f>
        <v>9.65</v>
      </c>
      <c r="D168" s="1">
        <f>IFERROR(__xludf.DUMMYFUNCTION("""COMPUTED_VALUE"""),9.32)</f>
        <v>9.32</v>
      </c>
      <c r="E168" s="1">
        <f>IFERROR(__xludf.DUMMYFUNCTION("""COMPUTED_VALUE"""),9.57)</f>
        <v>9.57</v>
      </c>
      <c r="F168" s="1">
        <f>IFERROR(__xludf.DUMMYFUNCTION("""COMPUTED_VALUE"""),473416.0)</f>
        <v>473416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IFERROR(__xludf.DUMMYFUNCTION("""COMPUTED_VALUE"""),9.68)</f>
        <v>9.68</v>
      </c>
      <c r="C169" s="1">
        <f>IFERROR(__xludf.DUMMYFUNCTION("""COMPUTED_VALUE"""),9.96)</f>
        <v>9.96</v>
      </c>
      <c r="D169" s="1">
        <f>IFERROR(__xludf.DUMMYFUNCTION("""COMPUTED_VALUE"""),9.65)</f>
        <v>9.65</v>
      </c>
      <c r="E169" s="1">
        <f>IFERROR(__xludf.DUMMYFUNCTION("""COMPUTED_VALUE"""),9.93)</f>
        <v>9.93</v>
      </c>
      <c r="F169" s="1">
        <f>IFERROR(__xludf.DUMMYFUNCTION("""COMPUTED_VALUE"""),571933.0)</f>
        <v>571933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IFERROR(__xludf.DUMMYFUNCTION("""COMPUTED_VALUE"""),9.9)</f>
        <v>9.9</v>
      </c>
      <c r="C170" s="1">
        <f>IFERROR(__xludf.DUMMYFUNCTION("""COMPUTED_VALUE"""),10.05)</f>
        <v>10.05</v>
      </c>
      <c r="D170" s="1">
        <f>IFERROR(__xludf.DUMMYFUNCTION("""COMPUTED_VALUE"""),9.74)</f>
        <v>9.74</v>
      </c>
      <c r="E170" s="1">
        <f>IFERROR(__xludf.DUMMYFUNCTION("""COMPUTED_VALUE"""),9.93)</f>
        <v>9.93</v>
      </c>
      <c r="F170" s="1">
        <f>IFERROR(__xludf.DUMMYFUNCTION("""COMPUTED_VALUE"""),337429.0)</f>
        <v>337429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IFERROR(__xludf.DUMMYFUNCTION("""COMPUTED_VALUE"""),10.1)</f>
        <v>10.1</v>
      </c>
      <c r="C171" s="1">
        <f>IFERROR(__xludf.DUMMYFUNCTION("""COMPUTED_VALUE"""),10.28)</f>
        <v>10.28</v>
      </c>
      <c r="D171" s="1">
        <f>IFERROR(__xludf.DUMMYFUNCTION("""COMPUTED_VALUE"""),10.04)</f>
        <v>10.04</v>
      </c>
      <c r="E171" s="1">
        <f>IFERROR(__xludf.DUMMYFUNCTION("""COMPUTED_VALUE"""),10.18)</f>
        <v>10.18</v>
      </c>
      <c r="F171" s="1">
        <f>IFERROR(__xludf.DUMMYFUNCTION("""COMPUTED_VALUE"""),362295.0)</f>
        <v>362295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IFERROR(__xludf.DUMMYFUNCTION("""COMPUTED_VALUE"""),10.13)</f>
        <v>10.13</v>
      </c>
      <c r="C172" s="1">
        <f>IFERROR(__xludf.DUMMYFUNCTION("""COMPUTED_VALUE"""),10.13)</f>
        <v>10.13</v>
      </c>
      <c r="D172" s="1">
        <f>IFERROR(__xludf.DUMMYFUNCTION("""COMPUTED_VALUE"""),9.81)</f>
        <v>9.81</v>
      </c>
      <c r="E172" s="1">
        <f>IFERROR(__xludf.DUMMYFUNCTION("""COMPUTED_VALUE"""),9.86)</f>
        <v>9.86</v>
      </c>
      <c r="F172" s="1">
        <f>IFERROR(__xludf.DUMMYFUNCTION("""COMPUTED_VALUE"""),424936.0)</f>
        <v>424936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IFERROR(__xludf.DUMMYFUNCTION("""COMPUTED_VALUE"""),9.9)</f>
        <v>9.9</v>
      </c>
      <c r="C173" s="1">
        <f>IFERROR(__xludf.DUMMYFUNCTION("""COMPUTED_VALUE"""),10.23)</f>
        <v>10.23</v>
      </c>
      <c r="D173" s="1">
        <f>IFERROR(__xludf.DUMMYFUNCTION("""COMPUTED_VALUE"""),9.76)</f>
        <v>9.76</v>
      </c>
      <c r="E173" s="1">
        <f>IFERROR(__xludf.DUMMYFUNCTION("""COMPUTED_VALUE"""),10.06)</f>
        <v>10.06</v>
      </c>
      <c r="F173" s="1">
        <f>IFERROR(__xludf.DUMMYFUNCTION("""COMPUTED_VALUE"""),275046.0)</f>
        <v>275046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IFERROR(__xludf.DUMMYFUNCTION("""COMPUTED_VALUE"""),10.23)</f>
        <v>10.23</v>
      </c>
      <c r="C174" s="1">
        <f>IFERROR(__xludf.DUMMYFUNCTION("""COMPUTED_VALUE"""),10.69)</f>
        <v>10.69</v>
      </c>
      <c r="D174" s="1">
        <f>IFERROR(__xludf.DUMMYFUNCTION("""COMPUTED_VALUE"""),10.14)</f>
        <v>10.14</v>
      </c>
      <c r="E174" s="1">
        <f>IFERROR(__xludf.DUMMYFUNCTION("""COMPUTED_VALUE"""),10.62)</f>
        <v>10.62</v>
      </c>
      <c r="F174" s="1">
        <f>IFERROR(__xludf.DUMMYFUNCTION("""COMPUTED_VALUE"""),582830.0)</f>
        <v>582830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IFERROR(__xludf.DUMMYFUNCTION("""COMPUTED_VALUE"""),10.63)</f>
        <v>10.63</v>
      </c>
      <c r="C175" s="1">
        <f>IFERROR(__xludf.DUMMYFUNCTION("""COMPUTED_VALUE"""),10.92)</f>
        <v>10.92</v>
      </c>
      <c r="D175" s="1">
        <f>IFERROR(__xludf.DUMMYFUNCTION("""COMPUTED_VALUE"""),10.59)</f>
        <v>10.59</v>
      </c>
      <c r="E175" s="1">
        <f>IFERROR(__xludf.DUMMYFUNCTION("""COMPUTED_VALUE"""),10.88)</f>
        <v>10.88</v>
      </c>
      <c r="F175" s="1">
        <f>IFERROR(__xludf.DUMMYFUNCTION("""COMPUTED_VALUE"""),686298.0)</f>
        <v>686298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IFERROR(__xludf.DUMMYFUNCTION("""COMPUTED_VALUE"""),11.0)</f>
        <v>11</v>
      </c>
      <c r="C176" s="1">
        <f>IFERROR(__xludf.DUMMYFUNCTION("""COMPUTED_VALUE"""),11.42)</f>
        <v>11.42</v>
      </c>
      <c r="D176" s="1">
        <f>IFERROR(__xludf.DUMMYFUNCTION("""COMPUTED_VALUE"""),10.92)</f>
        <v>10.92</v>
      </c>
      <c r="E176" s="1">
        <f>IFERROR(__xludf.DUMMYFUNCTION("""COMPUTED_VALUE"""),11.39)</f>
        <v>11.39</v>
      </c>
      <c r="F176" s="1">
        <f>IFERROR(__xludf.DUMMYFUNCTION("""COMPUTED_VALUE"""),660977.0)</f>
        <v>660977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IFERROR(__xludf.DUMMYFUNCTION("""COMPUTED_VALUE"""),11.38)</f>
        <v>11.38</v>
      </c>
      <c r="C177" s="1">
        <f>IFERROR(__xludf.DUMMYFUNCTION("""COMPUTED_VALUE"""),11.47)</f>
        <v>11.47</v>
      </c>
      <c r="D177" s="1">
        <f>IFERROR(__xludf.DUMMYFUNCTION("""COMPUTED_VALUE"""),11.19)</f>
        <v>11.19</v>
      </c>
      <c r="E177" s="1">
        <f>IFERROR(__xludf.DUMMYFUNCTION("""COMPUTED_VALUE"""),11.35)</f>
        <v>11.35</v>
      </c>
      <c r="F177" s="1">
        <f>IFERROR(__xludf.DUMMYFUNCTION("""COMPUTED_VALUE"""),499000.0)</f>
        <v>499000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IFERROR(__xludf.DUMMYFUNCTION("""COMPUTED_VALUE"""),11.29)</f>
        <v>11.29</v>
      </c>
      <c r="C178" s="1">
        <f>IFERROR(__xludf.DUMMYFUNCTION("""COMPUTED_VALUE"""),11.78)</f>
        <v>11.78</v>
      </c>
      <c r="D178" s="1">
        <f>IFERROR(__xludf.DUMMYFUNCTION("""COMPUTED_VALUE"""),11.11)</f>
        <v>11.11</v>
      </c>
      <c r="E178" s="1">
        <f>IFERROR(__xludf.DUMMYFUNCTION("""COMPUTED_VALUE"""),11.59)</f>
        <v>11.59</v>
      </c>
      <c r="F178" s="1">
        <f>IFERROR(__xludf.DUMMYFUNCTION("""COMPUTED_VALUE"""),630429.0)</f>
        <v>630429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IFERROR(__xludf.DUMMYFUNCTION("""COMPUTED_VALUE"""),11.59)</f>
        <v>11.59</v>
      </c>
      <c r="C179" s="1">
        <f>IFERROR(__xludf.DUMMYFUNCTION("""COMPUTED_VALUE"""),11.7)</f>
        <v>11.7</v>
      </c>
      <c r="D179" s="1">
        <f>IFERROR(__xludf.DUMMYFUNCTION("""COMPUTED_VALUE"""),11.31)</f>
        <v>11.31</v>
      </c>
      <c r="E179" s="1">
        <f>IFERROR(__xludf.DUMMYFUNCTION("""COMPUTED_VALUE"""),11.4)</f>
        <v>11.4</v>
      </c>
      <c r="F179" s="1">
        <f>IFERROR(__xludf.DUMMYFUNCTION("""COMPUTED_VALUE"""),492009.0)</f>
        <v>492009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IFERROR(__xludf.DUMMYFUNCTION("""COMPUTED_VALUE"""),11.53)</f>
        <v>11.53</v>
      </c>
      <c r="C180" s="1">
        <f>IFERROR(__xludf.DUMMYFUNCTION("""COMPUTED_VALUE"""),11.93)</f>
        <v>11.93</v>
      </c>
      <c r="D180" s="1">
        <f>IFERROR(__xludf.DUMMYFUNCTION("""COMPUTED_VALUE"""),11.4)</f>
        <v>11.4</v>
      </c>
      <c r="E180" s="1">
        <f>IFERROR(__xludf.DUMMYFUNCTION("""COMPUTED_VALUE"""),11.84)</f>
        <v>11.84</v>
      </c>
      <c r="F180" s="1">
        <f>IFERROR(__xludf.DUMMYFUNCTION("""COMPUTED_VALUE"""),1016800.0)</f>
        <v>1016800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IFERROR(__xludf.DUMMYFUNCTION("""COMPUTED_VALUE"""),11.89)</f>
        <v>11.89</v>
      </c>
      <c r="C181" s="1">
        <f>IFERROR(__xludf.DUMMYFUNCTION("""COMPUTED_VALUE"""),12.4)</f>
        <v>12.4</v>
      </c>
      <c r="D181" s="1">
        <f>IFERROR(__xludf.DUMMYFUNCTION("""COMPUTED_VALUE"""),11.66)</f>
        <v>11.66</v>
      </c>
      <c r="E181" s="1">
        <f>IFERROR(__xludf.DUMMYFUNCTION("""COMPUTED_VALUE"""),12.3)</f>
        <v>12.3</v>
      </c>
      <c r="F181" s="1">
        <f>IFERROR(__xludf.DUMMYFUNCTION("""COMPUTED_VALUE"""),1287348.0)</f>
        <v>1287348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IFERROR(__xludf.DUMMYFUNCTION("""COMPUTED_VALUE"""),12.31)</f>
        <v>12.31</v>
      </c>
      <c r="C182" s="1">
        <f>IFERROR(__xludf.DUMMYFUNCTION("""COMPUTED_VALUE"""),12.69)</f>
        <v>12.69</v>
      </c>
      <c r="D182" s="1">
        <f>IFERROR(__xludf.DUMMYFUNCTION("""COMPUTED_VALUE"""),12.15)</f>
        <v>12.15</v>
      </c>
      <c r="E182" s="1">
        <f>IFERROR(__xludf.DUMMYFUNCTION("""COMPUTED_VALUE"""),12.46)</f>
        <v>12.46</v>
      </c>
      <c r="F182" s="1">
        <f>IFERROR(__xludf.DUMMYFUNCTION("""COMPUTED_VALUE"""),1308201.0)</f>
        <v>1308201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IFERROR(__xludf.DUMMYFUNCTION("""COMPUTED_VALUE"""),12.42)</f>
        <v>12.42</v>
      </c>
      <c r="C183" s="1">
        <f>IFERROR(__xludf.DUMMYFUNCTION("""COMPUTED_VALUE"""),12.47)</f>
        <v>12.47</v>
      </c>
      <c r="D183" s="1">
        <f>IFERROR(__xludf.DUMMYFUNCTION("""COMPUTED_VALUE"""),11.89)</f>
        <v>11.89</v>
      </c>
      <c r="E183" s="1">
        <f>IFERROR(__xludf.DUMMYFUNCTION("""COMPUTED_VALUE"""),11.92)</f>
        <v>11.92</v>
      </c>
      <c r="F183" s="1">
        <f>IFERROR(__xludf.DUMMYFUNCTION("""COMPUTED_VALUE"""),609713.0)</f>
        <v>609713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IFERROR(__xludf.DUMMYFUNCTION("""COMPUTED_VALUE"""),11.8)</f>
        <v>11.8</v>
      </c>
      <c r="C184" s="1">
        <f>IFERROR(__xludf.DUMMYFUNCTION("""COMPUTED_VALUE"""),12.05)</f>
        <v>12.05</v>
      </c>
      <c r="D184" s="1">
        <f>IFERROR(__xludf.DUMMYFUNCTION("""COMPUTED_VALUE"""),11.44)</f>
        <v>11.44</v>
      </c>
      <c r="E184" s="1">
        <f>IFERROR(__xludf.DUMMYFUNCTION("""COMPUTED_VALUE"""),11.48)</f>
        <v>11.48</v>
      </c>
      <c r="F184" s="1">
        <f>IFERROR(__xludf.DUMMYFUNCTION("""COMPUTED_VALUE"""),673315.0)</f>
        <v>673315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IFERROR(__xludf.DUMMYFUNCTION("""COMPUTED_VALUE"""),11.67)</f>
        <v>11.67</v>
      </c>
      <c r="C185" s="1">
        <f>IFERROR(__xludf.DUMMYFUNCTION("""COMPUTED_VALUE"""),12.15)</f>
        <v>12.15</v>
      </c>
      <c r="D185" s="1">
        <f>IFERROR(__xludf.DUMMYFUNCTION("""COMPUTED_VALUE"""),11.56)</f>
        <v>11.56</v>
      </c>
      <c r="E185" s="1">
        <f>IFERROR(__xludf.DUMMYFUNCTION("""COMPUTED_VALUE"""),12.15)</f>
        <v>12.15</v>
      </c>
      <c r="F185" s="1">
        <f>IFERROR(__xludf.DUMMYFUNCTION("""COMPUTED_VALUE"""),570859.0)</f>
        <v>570859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IFERROR(__xludf.DUMMYFUNCTION("""COMPUTED_VALUE"""),12.1)</f>
        <v>12.1</v>
      </c>
      <c r="C186" s="1">
        <f>IFERROR(__xludf.DUMMYFUNCTION("""COMPUTED_VALUE"""),12.3)</f>
        <v>12.3</v>
      </c>
      <c r="D186" s="1">
        <f>IFERROR(__xludf.DUMMYFUNCTION("""COMPUTED_VALUE"""),11.93)</f>
        <v>11.93</v>
      </c>
      <c r="E186" s="1">
        <f>IFERROR(__xludf.DUMMYFUNCTION("""COMPUTED_VALUE"""),12.2)</f>
        <v>12.2</v>
      </c>
      <c r="F186" s="1">
        <f>IFERROR(__xludf.DUMMYFUNCTION("""COMPUTED_VALUE"""),614769.0)</f>
        <v>614769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IFERROR(__xludf.DUMMYFUNCTION("""COMPUTED_VALUE"""),12.2)</f>
        <v>12.2</v>
      </c>
      <c r="C187" s="1">
        <f>IFERROR(__xludf.DUMMYFUNCTION("""COMPUTED_VALUE"""),12.51)</f>
        <v>12.51</v>
      </c>
      <c r="D187" s="1">
        <f>IFERROR(__xludf.DUMMYFUNCTION("""COMPUTED_VALUE"""),11.92)</f>
        <v>11.92</v>
      </c>
      <c r="E187" s="1">
        <f>IFERROR(__xludf.DUMMYFUNCTION("""COMPUTED_VALUE"""),12.41)</f>
        <v>12.41</v>
      </c>
      <c r="F187" s="1">
        <f>IFERROR(__xludf.DUMMYFUNCTION("""COMPUTED_VALUE"""),1126144.0)</f>
        <v>1126144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IFERROR(__xludf.DUMMYFUNCTION("""COMPUTED_VALUE"""),12.3)</f>
        <v>12.3</v>
      </c>
      <c r="C188" s="1">
        <f>IFERROR(__xludf.DUMMYFUNCTION("""COMPUTED_VALUE"""),12.4)</f>
        <v>12.4</v>
      </c>
      <c r="D188" s="1">
        <f>IFERROR(__xludf.DUMMYFUNCTION("""COMPUTED_VALUE"""),12.06)</f>
        <v>12.06</v>
      </c>
      <c r="E188" s="1">
        <f>IFERROR(__xludf.DUMMYFUNCTION("""COMPUTED_VALUE"""),12.15)</f>
        <v>12.15</v>
      </c>
      <c r="F188" s="1">
        <f>IFERROR(__xludf.DUMMYFUNCTION("""COMPUTED_VALUE"""),745396.0)</f>
        <v>745396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IFERROR(__xludf.DUMMYFUNCTION("""COMPUTED_VALUE"""),12.3)</f>
        <v>12.3</v>
      </c>
      <c r="C189" s="1">
        <f>IFERROR(__xludf.DUMMYFUNCTION("""COMPUTED_VALUE"""),12.49)</f>
        <v>12.49</v>
      </c>
      <c r="D189" s="1">
        <f>IFERROR(__xludf.DUMMYFUNCTION("""COMPUTED_VALUE"""),11.89)</f>
        <v>11.89</v>
      </c>
      <c r="E189" s="1">
        <f>IFERROR(__xludf.DUMMYFUNCTION("""COMPUTED_VALUE"""),11.89)</f>
        <v>11.89</v>
      </c>
      <c r="F189" s="1">
        <f>IFERROR(__xludf.DUMMYFUNCTION("""COMPUTED_VALUE"""),1185027.0)</f>
        <v>1185027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IFERROR(__xludf.DUMMYFUNCTION("""COMPUTED_VALUE"""),12.07)</f>
        <v>12.07</v>
      </c>
      <c r="C190" s="1">
        <f>IFERROR(__xludf.DUMMYFUNCTION("""COMPUTED_VALUE"""),12.14)</f>
        <v>12.14</v>
      </c>
      <c r="D190" s="1">
        <f>IFERROR(__xludf.DUMMYFUNCTION("""COMPUTED_VALUE"""),11.75)</f>
        <v>11.75</v>
      </c>
      <c r="E190" s="1">
        <f>IFERROR(__xludf.DUMMYFUNCTION("""COMPUTED_VALUE"""),11.84)</f>
        <v>11.84</v>
      </c>
      <c r="F190" s="1">
        <f>IFERROR(__xludf.DUMMYFUNCTION("""COMPUTED_VALUE"""),663333.0)</f>
        <v>663333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IFERROR(__xludf.DUMMYFUNCTION("""COMPUTED_VALUE"""),11.96)</f>
        <v>11.96</v>
      </c>
      <c r="C191" s="1">
        <f>IFERROR(__xludf.DUMMYFUNCTION("""COMPUTED_VALUE"""),12.35)</f>
        <v>12.35</v>
      </c>
      <c r="D191" s="1">
        <f>IFERROR(__xludf.DUMMYFUNCTION("""COMPUTED_VALUE"""),11.84)</f>
        <v>11.84</v>
      </c>
      <c r="E191" s="1">
        <f>IFERROR(__xludf.DUMMYFUNCTION("""COMPUTED_VALUE"""),12.19)</f>
        <v>12.19</v>
      </c>
      <c r="F191" s="1">
        <f>IFERROR(__xludf.DUMMYFUNCTION("""COMPUTED_VALUE"""),919481.0)</f>
        <v>919481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IFERROR(__xludf.DUMMYFUNCTION("""COMPUTED_VALUE"""),12.38)</f>
        <v>12.38</v>
      </c>
      <c r="C192" s="1">
        <f>IFERROR(__xludf.DUMMYFUNCTION("""COMPUTED_VALUE"""),12.59)</f>
        <v>12.59</v>
      </c>
      <c r="D192" s="1">
        <f>IFERROR(__xludf.DUMMYFUNCTION("""COMPUTED_VALUE"""),12.12)</f>
        <v>12.12</v>
      </c>
      <c r="E192" s="1">
        <f>IFERROR(__xludf.DUMMYFUNCTION("""COMPUTED_VALUE"""),12.47)</f>
        <v>12.47</v>
      </c>
      <c r="F192" s="1">
        <f>IFERROR(__xludf.DUMMYFUNCTION("""COMPUTED_VALUE"""),922561.0)</f>
        <v>922561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IFERROR(__xludf.DUMMYFUNCTION("""COMPUTED_VALUE"""),12.48)</f>
        <v>12.48</v>
      </c>
      <c r="C193" s="1">
        <f>IFERROR(__xludf.DUMMYFUNCTION("""COMPUTED_VALUE"""),12.79)</f>
        <v>12.79</v>
      </c>
      <c r="D193" s="1">
        <f>IFERROR(__xludf.DUMMYFUNCTION("""COMPUTED_VALUE"""),12.4)</f>
        <v>12.4</v>
      </c>
      <c r="E193" s="1">
        <f>IFERROR(__xludf.DUMMYFUNCTION("""COMPUTED_VALUE"""),12.77)</f>
        <v>12.77</v>
      </c>
      <c r="F193" s="1">
        <f>IFERROR(__xludf.DUMMYFUNCTION("""COMPUTED_VALUE"""),752142.0)</f>
        <v>752142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IFERROR(__xludf.DUMMYFUNCTION("""COMPUTED_VALUE"""),12.95)</f>
        <v>12.95</v>
      </c>
      <c r="C194" s="1">
        <f>IFERROR(__xludf.DUMMYFUNCTION("""COMPUTED_VALUE"""),12.98)</f>
        <v>12.98</v>
      </c>
      <c r="D194" s="1">
        <f>IFERROR(__xludf.DUMMYFUNCTION("""COMPUTED_VALUE"""),12.73)</f>
        <v>12.73</v>
      </c>
      <c r="E194" s="1">
        <f>IFERROR(__xludf.DUMMYFUNCTION("""COMPUTED_VALUE"""),12.84)</f>
        <v>12.84</v>
      </c>
      <c r="F194" s="1">
        <f>IFERROR(__xludf.DUMMYFUNCTION("""COMPUTED_VALUE"""),1174003.0)</f>
        <v>1174003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IFERROR(__xludf.DUMMYFUNCTION("""COMPUTED_VALUE"""),12.86)</f>
        <v>12.86</v>
      </c>
      <c r="C195" s="1">
        <f>IFERROR(__xludf.DUMMYFUNCTION("""COMPUTED_VALUE"""),12.98)</f>
        <v>12.98</v>
      </c>
      <c r="D195" s="1">
        <f>IFERROR(__xludf.DUMMYFUNCTION("""COMPUTED_VALUE"""),12.67)</f>
        <v>12.67</v>
      </c>
      <c r="E195" s="1">
        <f>IFERROR(__xludf.DUMMYFUNCTION("""COMPUTED_VALUE"""),12.89)</f>
        <v>12.89</v>
      </c>
      <c r="F195" s="1">
        <f>IFERROR(__xludf.DUMMYFUNCTION("""COMPUTED_VALUE"""),476583.0)</f>
        <v>476583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IFERROR(__xludf.DUMMYFUNCTION("""COMPUTED_VALUE"""),12.92)</f>
        <v>12.92</v>
      </c>
      <c r="C196" s="1">
        <f>IFERROR(__xludf.DUMMYFUNCTION("""COMPUTED_VALUE"""),12.95)</f>
        <v>12.95</v>
      </c>
      <c r="D196" s="1">
        <f>IFERROR(__xludf.DUMMYFUNCTION("""COMPUTED_VALUE"""),12.76)</f>
        <v>12.76</v>
      </c>
      <c r="E196" s="1">
        <f>IFERROR(__xludf.DUMMYFUNCTION("""COMPUTED_VALUE"""),12.84)</f>
        <v>12.84</v>
      </c>
      <c r="F196" s="1">
        <f>IFERROR(__xludf.DUMMYFUNCTION("""COMPUTED_VALUE"""),786067.0)</f>
        <v>786067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IFERROR(__xludf.DUMMYFUNCTION("""COMPUTED_VALUE"""),12.83)</f>
        <v>12.83</v>
      </c>
      <c r="C197" s="1">
        <f>IFERROR(__xludf.DUMMYFUNCTION("""COMPUTED_VALUE"""),13.04)</f>
        <v>13.04</v>
      </c>
      <c r="D197" s="1">
        <f>IFERROR(__xludf.DUMMYFUNCTION("""COMPUTED_VALUE"""),12.7)</f>
        <v>12.7</v>
      </c>
      <c r="E197" s="1">
        <f>IFERROR(__xludf.DUMMYFUNCTION("""COMPUTED_VALUE"""),13.03)</f>
        <v>13.03</v>
      </c>
      <c r="F197" s="1">
        <f>IFERROR(__xludf.DUMMYFUNCTION("""COMPUTED_VALUE"""),706271.0)</f>
        <v>706271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IFERROR(__xludf.DUMMYFUNCTION("""COMPUTED_VALUE"""),13.07)</f>
        <v>13.07</v>
      </c>
      <c r="C198" s="1">
        <f>IFERROR(__xludf.DUMMYFUNCTION("""COMPUTED_VALUE"""),13.38)</f>
        <v>13.38</v>
      </c>
      <c r="D198" s="1">
        <f>IFERROR(__xludf.DUMMYFUNCTION("""COMPUTED_VALUE"""),12.95)</f>
        <v>12.95</v>
      </c>
      <c r="E198" s="1">
        <f>IFERROR(__xludf.DUMMYFUNCTION("""COMPUTED_VALUE"""),12.96)</f>
        <v>12.96</v>
      </c>
      <c r="F198" s="1">
        <f>IFERROR(__xludf.DUMMYFUNCTION("""COMPUTED_VALUE"""),1153184.0)</f>
        <v>1153184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IFERROR(__xludf.DUMMYFUNCTION("""COMPUTED_VALUE"""),12.9)</f>
        <v>12.9</v>
      </c>
      <c r="C199" s="1">
        <f>IFERROR(__xludf.DUMMYFUNCTION("""COMPUTED_VALUE"""),13.04)</f>
        <v>13.04</v>
      </c>
      <c r="D199" s="1">
        <f>IFERROR(__xludf.DUMMYFUNCTION("""COMPUTED_VALUE"""),12.64)</f>
        <v>12.64</v>
      </c>
      <c r="E199" s="1">
        <f>IFERROR(__xludf.DUMMYFUNCTION("""COMPUTED_VALUE"""),12.82)</f>
        <v>12.82</v>
      </c>
      <c r="F199" s="1">
        <f>IFERROR(__xludf.DUMMYFUNCTION("""COMPUTED_VALUE"""),710795.0)</f>
        <v>710795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IFERROR(__xludf.DUMMYFUNCTION("""COMPUTED_VALUE"""),12.98)</f>
        <v>12.98</v>
      </c>
      <c r="C200" s="1">
        <f>IFERROR(__xludf.DUMMYFUNCTION("""COMPUTED_VALUE"""),12.99)</f>
        <v>12.99</v>
      </c>
      <c r="D200" s="1">
        <f>IFERROR(__xludf.DUMMYFUNCTION("""COMPUTED_VALUE"""),12.43)</f>
        <v>12.43</v>
      </c>
      <c r="E200" s="1">
        <f>IFERROR(__xludf.DUMMYFUNCTION("""COMPUTED_VALUE"""),12.43)</f>
        <v>12.43</v>
      </c>
      <c r="F200" s="1">
        <f>IFERROR(__xludf.DUMMYFUNCTION("""COMPUTED_VALUE"""),662530.0)</f>
        <v>662530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IFERROR(__xludf.DUMMYFUNCTION("""COMPUTED_VALUE"""),12.5)</f>
        <v>12.5</v>
      </c>
      <c r="C201" s="1">
        <f>IFERROR(__xludf.DUMMYFUNCTION("""COMPUTED_VALUE"""),12.85)</f>
        <v>12.85</v>
      </c>
      <c r="D201" s="1">
        <f>IFERROR(__xludf.DUMMYFUNCTION("""COMPUTED_VALUE"""),12.39)</f>
        <v>12.39</v>
      </c>
      <c r="E201" s="1">
        <f>IFERROR(__xludf.DUMMYFUNCTION("""COMPUTED_VALUE"""),12.81)</f>
        <v>12.81</v>
      </c>
      <c r="F201" s="1">
        <f>IFERROR(__xludf.DUMMYFUNCTION("""COMPUTED_VALUE"""),446426.0)</f>
        <v>446426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IFERROR(__xludf.DUMMYFUNCTION("""COMPUTED_VALUE"""),12.6)</f>
        <v>12.6</v>
      </c>
      <c r="C202" s="1">
        <f>IFERROR(__xludf.DUMMYFUNCTION("""COMPUTED_VALUE"""),12.98)</f>
        <v>12.98</v>
      </c>
      <c r="D202" s="1">
        <f>IFERROR(__xludf.DUMMYFUNCTION("""COMPUTED_VALUE"""),12.46)</f>
        <v>12.46</v>
      </c>
      <c r="E202" s="1">
        <f>IFERROR(__xludf.DUMMYFUNCTION("""COMPUTED_VALUE"""),12.71)</f>
        <v>12.71</v>
      </c>
      <c r="F202" s="1">
        <f>IFERROR(__xludf.DUMMYFUNCTION("""COMPUTED_VALUE"""),888199.0)</f>
        <v>888199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IFERROR(__xludf.DUMMYFUNCTION("""COMPUTED_VALUE"""),12.71)</f>
        <v>12.71</v>
      </c>
      <c r="C203" s="1">
        <f>IFERROR(__xludf.DUMMYFUNCTION("""COMPUTED_VALUE"""),12.89)</f>
        <v>12.89</v>
      </c>
      <c r="D203" s="1">
        <f>IFERROR(__xludf.DUMMYFUNCTION("""COMPUTED_VALUE"""),12.45)</f>
        <v>12.45</v>
      </c>
      <c r="E203" s="1">
        <f>IFERROR(__xludf.DUMMYFUNCTION("""COMPUTED_VALUE"""),12.85)</f>
        <v>12.85</v>
      </c>
      <c r="F203" s="1">
        <f>IFERROR(__xludf.DUMMYFUNCTION("""COMPUTED_VALUE"""),666432.0)</f>
        <v>666432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IFERROR(__xludf.DUMMYFUNCTION("""COMPUTED_VALUE"""),12.92)</f>
        <v>12.92</v>
      </c>
      <c r="C204" s="1">
        <f>IFERROR(__xludf.DUMMYFUNCTION("""COMPUTED_VALUE"""),13.08)</f>
        <v>13.08</v>
      </c>
      <c r="D204" s="1">
        <f>IFERROR(__xludf.DUMMYFUNCTION("""COMPUTED_VALUE"""),12.48)</f>
        <v>12.48</v>
      </c>
      <c r="E204" s="1">
        <f>IFERROR(__xludf.DUMMYFUNCTION("""COMPUTED_VALUE"""),12.61)</f>
        <v>12.61</v>
      </c>
      <c r="F204" s="1">
        <f>IFERROR(__xludf.DUMMYFUNCTION("""COMPUTED_VALUE"""),521830.0)</f>
        <v>521830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IFERROR(__xludf.DUMMYFUNCTION("""COMPUTED_VALUE"""),12.69)</f>
        <v>12.69</v>
      </c>
      <c r="C205" s="1">
        <f>IFERROR(__xludf.DUMMYFUNCTION("""COMPUTED_VALUE"""),12.88)</f>
        <v>12.88</v>
      </c>
      <c r="D205" s="1">
        <f>IFERROR(__xludf.DUMMYFUNCTION("""COMPUTED_VALUE"""),12.56)</f>
        <v>12.56</v>
      </c>
      <c r="E205" s="1">
        <f>IFERROR(__xludf.DUMMYFUNCTION("""COMPUTED_VALUE"""),12.87)</f>
        <v>12.87</v>
      </c>
      <c r="F205" s="1">
        <f>IFERROR(__xludf.DUMMYFUNCTION("""COMPUTED_VALUE"""),446824.0)</f>
        <v>446824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IFERROR(__xludf.DUMMYFUNCTION("""COMPUTED_VALUE"""),12.96)</f>
        <v>12.96</v>
      </c>
      <c r="C206" s="1">
        <f>IFERROR(__xludf.DUMMYFUNCTION("""COMPUTED_VALUE"""),13.02)</f>
        <v>13.02</v>
      </c>
      <c r="D206" s="1">
        <f>IFERROR(__xludf.DUMMYFUNCTION("""COMPUTED_VALUE"""),12.67)</f>
        <v>12.67</v>
      </c>
      <c r="E206" s="1">
        <f>IFERROR(__xludf.DUMMYFUNCTION("""COMPUTED_VALUE"""),12.73)</f>
        <v>12.73</v>
      </c>
      <c r="F206" s="1">
        <f>IFERROR(__xludf.DUMMYFUNCTION("""COMPUTED_VALUE"""),557328.0)</f>
        <v>557328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IFERROR(__xludf.DUMMYFUNCTION("""COMPUTED_VALUE"""),12.64)</f>
        <v>12.64</v>
      </c>
      <c r="C207" s="1">
        <f>IFERROR(__xludf.DUMMYFUNCTION("""COMPUTED_VALUE"""),13.16)</f>
        <v>13.16</v>
      </c>
      <c r="D207" s="1">
        <f>IFERROR(__xludf.DUMMYFUNCTION("""COMPUTED_VALUE"""),12.51)</f>
        <v>12.51</v>
      </c>
      <c r="E207" s="1">
        <f>IFERROR(__xludf.DUMMYFUNCTION("""COMPUTED_VALUE"""),12.93)</f>
        <v>12.93</v>
      </c>
      <c r="F207" s="1">
        <f>IFERROR(__xludf.DUMMYFUNCTION("""COMPUTED_VALUE"""),773187.0)</f>
        <v>773187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IFERROR(__xludf.DUMMYFUNCTION("""COMPUTED_VALUE"""),12.89)</f>
        <v>12.89</v>
      </c>
      <c r="C208" s="1">
        <f>IFERROR(__xludf.DUMMYFUNCTION("""COMPUTED_VALUE"""),13.74)</f>
        <v>13.74</v>
      </c>
      <c r="D208" s="1">
        <f>IFERROR(__xludf.DUMMYFUNCTION("""COMPUTED_VALUE"""),12.89)</f>
        <v>12.89</v>
      </c>
      <c r="E208" s="1">
        <f>IFERROR(__xludf.DUMMYFUNCTION("""COMPUTED_VALUE"""),13.62)</f>
        <v>13.62</v>
      </c>
      <c r="F208" s="1">
        <f>IFERROR(__xludf.DUMMYFUNCTION("""COMPUTED_VALUE"""),1601351.0)</f>
        <v>1601351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IFERROR(__xludf.DUMMYFUNCTION("""COMPUTED_VALUE"""),13.79)</f>
        <v>13.79</v>
      </c>
      <c r="C209" s="1">
        <f>IFERROR(__xludf.DUMMYFUNCTION("""COMPUTED_VALUE"""),13.99)</f>
        <v>13.99</v>
      </c>
      <c r="D209" s="1">
        <f>IFERROR(__xludf.DUMMYFUNCTION("""COMPUTED_VALUE"""),13.55)</f>
        <v>13.55</v>
      </c>
      <c r="E209" s="1">
        <f>IFERROR(__xludf.DUMMYFUNCTION("""COMPUTED_VALUE"""),13.75)</f>
        <v>13.75</v>
      </c>
      <c r="F209" s="1">
        <f>IFERROR(__xludf.DUMMYFUNCTION("""COMPUTED_VALUE"""),1170150.0)</f>
        <v>1170150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IFERROR(__xludf.DUMMYFUNCTION("""COMPUTED_VALUE"""),13.72)</f>
        <v>13.72</v>
      </c>
      <c r="C210" s="1">
        <f>IFERROR(__xludf.DUMMYFUNCTION("""COMPUTED_VALUE"""),13.75)</f>
        <v>13.75</v>
      </c>
      <c r="D210" s="1">
        <f>IFERROR(__xludf.DUMMYFUNCTION("""COMPUTED_VALUE"""),13.55)</f>
        <v>13.55</v>
      </c>
      <c r="E210" s="1">
        <f>IFERROR(__xludf.DUMMYFUNCTION("""COMPUTED_VALUE"""),13.6)</f>
        <v>13.6</v>
      </c>
      <c r="F210" s="1">
        <f>IFERROR(__xludf.DUMMYFUNCTION("""COMPUTED_VALUE"""),773892.0)</f>
        <v>773892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IFERROR(__xludf.DUMMYFUNCTION("""COMPUTED_VALUE"""),13.63)</f>
        <v>13.63</v>
      </c>
      <c r="C211" s="1">
        <f>IFERROR(__xludf.DUMMYFUNCTION("""COMPUTED_VALUE"""),13.75)</f>
        <v>13.75</v>
      </c>
      <c r="D211" s="1">
        <f>IFERROR(__xludf.DUMMYFUNCTION("""COMPUTED_VALUE"""),13.22)</f>
        <v>13.22</v>
      </c>
      <c r="E211" s="1">
        <f>IFERROR(__xludf.DUMMYFUNCTION("""COMPUTED_VALUE"""),13.48)</f>
        <v>13.48</v>
      </c>
      <c r="F211" s="1">
        <f>IFERROR(__xludf.DUMMYFUNCTION("""COMPUTED_VALUE"""),1100399.0)</f>
        <v>1100399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IFERROR(__xludf.DUMMYFUNCTION("""COMPUTED_VALUE"""),13.61)</f>
        <v>13.61</v>
      </c>
      <c r="C212" s="1">
        <f>IFERROR(__xludf.DUMMYFUNCTION("""COMPUTED_VALUE"""),13.86)</f>
        <v>13.86</v>
      </c>
      <c r="D212" s="1">
        <f>IFERROR(__xludf.DUMMYFUNCTION("""COMPUTED_VALUE"""),13.59)</f>
        <v>13.59</v>
      </c>
      <c r="E212" s="1">
        <f>IFERROR(__xludf.DUMMYFUNCTION("""COMPUTED_VALUE"""),13.86)</f>
        <v>13.86</v>
      </c>
      <c r="F212" s="1">
        <f>IFERROR(__xludf.DUMMYFUNCTION("""COMPUTED_VALUE"""),838860.0)</f>
        <v>838860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IFERROR(__xludf.DUMMYFUNCTION("""COMPUTED_VALUE"""),13.86)</f>
        <v>13.86</v>
      </c>
      <c r="C213" s="1">
        <f>IFERROR(__xludf.DUMMYFUNCTION("""COMPUTED_VALUE"""),14.22)</f>
        <v>14.22</v>
      </c>
      <c r="D213" s="1">
        <f>IFERROR(__xludf.DUMMYFUNCTION("""COMPUTED_VALUE"""),13.74)</f>
        <v>13.74</v>
      </c>
      <c r="E213" s="1">
        <f>IFERROR(__xludf.DUMMYFUNCTION("""COMPUTED_VALUE"""),13.98)</f>
        <v>13.98</v>
      </c>
      <c r="F213" s="1">
        <f>IFERROR(__xludf.DUMMYFUNCTION("""COMPUTED_VALUE"""),824793.0)</f>
        <v>824793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IFERROR(__xludf.DUMMYFUNCTION("""COMPUTED_VALUE"""),14.18)</f>
        <v>14.18</v>
      </c>
      <c r="C214" s="1">
        <f>IFERROR(__xludf.DUMMYFUNCTION("""COMPUTED_VALUE"""),14.5)</f>
        <v>14.5</v>
      </c>
      <c r="D214" s="1">
        <f>IFERROR(__xludf.DUMMYFUNCTION("""COMPUTED_VALUE"""),14.01)</f>
        <v>14.01</v>
      </c>
      <c r="E214" s="1">
        <f>IFERROR(__xludf.DUMMYFUNCTION("""COMPUTED_VALUE"""),14.3)</f>
        <v>14.3</v>
      </c>
      <c r="F214" s="1">
        <f>IFERROR(__xludf.DUMMYFUNCTION("""COMPUTED_VALUE"""),1102200.0)</f>
        <v>1102200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IFERROR(__xludf.DUMMYFUNCTION("""COMPUTED_VALUE"""),14.33)</f>
        <v>14.33</v>
      </c>
      <c r="C215" s="1">
        <f>IFERROR(__xludf.DUMMYFUNCTION("""COMPUTED_VALUE"""),14.88)</f>
        <v>14.88</v>
      </c>
      <c r="D215" s="1">
        <f>IFERROR(__xludf.DUMMYFUNCTION("""COMPUTED_VALUE"""),14.14)</f>
        <v>14.14</v>
      </c>
      <c r="E215" s="1">
        <f>IFERROR(__xludf.DUMMYFUNCTION("""COMPUTED_VALUE"""),14.59)</f>
        <v>14.59</v>
      </c>
      <c r="F215" s="1">
        <f>IFERROR(__xludf.DUMMYFUNCTION("""COMPUTED_VALUE"""),633731.0)</f>
        <v>633731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IFERROR(__xludf.DUMMYFUNCTION("""COMPUTED_VALUE"""),14.53)</f>
        <v>14.53</v>
      </c>
      <c r="C216" s="1">
        <f>IFERROR(__xludf.DUMMYFUNCTION("""COMPUTED_VALUE"""),14.7)</f>
        <v>14.7</v>
      </c>
      <c r="D216" s="1">
        <f>IFERROR(__xludf.DUMMYFUNCTION("""COMPUTED_VALUE"""),14.31)</f>
        <v>14.31</v>
      </c>
      <c r="E216" s="1">
        <f>IFERROR(__xludf.DUMMYFUNCTION("""COMPUTED_VALUE"""),14.67)</f>
        <v>14.67</v>
      </c>
      <c r="F216" s="1">
        <f>IFERROR(__xludf.DUMMYFUNCTION("""COMPUTED_VALUE"""),592284.0)</f>
        <v>592284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IFERROR(__xludf.DUMMYFUNCTION("""COMPUTED_VALUE"""),14.74)</f>
        <v>14.74</v>
      </c>
      <c r="C217" s="1">
        <f>IFERROR(__xludf.DUMMYFUNCTION("""COMPUTED_VALUE"""),14.78)</f>
        <v>14.78</v>
      </c>
      <c r="D217" s="1">
        <f>IFERROR(__xludf.DUMMYFUNCTION("""COMPUTED_VALUE"""),14.34)</f>
        <v>14.34</v>
      </c>
      <c r="E217" s="1">
        <f>IFERROR(__xludf.DUMMYFUNCTION("""COMPUTED_VALUE"""),14.46)</f>
        <v>14.46</v>
      </c>
      <c r="F217" s="1">
        <f>IFERROR(__xludf.DUMMYFUNCTION("""COMPUTED_VALUE"""),535585.0)</f>
        <v>535585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IFERROR(__xludf.DUMMYFUNCTION("""COMPUTED_VALUE"""),14.46)</f>
        <v>14.46</v>
      </c>
      <c r="C218" s="1">
        <f>IFERROR(__xludf.DUMMYFUNCTION("""COMPUTED_VALUE"""),14.88)</f>
        <v>14.88</v>
      </c>
      <c r="D218" s="1">
        <f>IFERROR(__xludf.DUMMYFUNCTION("""COMPUTED_VALUE"""),14.3)</f>
        <v>14.3</v>
      </c>
      <c r="E218" s="1">
        <f>IFERROR(__xludf.DUMMYFUNCTION("""COMPUTED_VALUE"""),14.88)</f>
        <v>14.88</v>
      </c>
      <c r="F218" s="1">
        <f>IFERROR(__xludf.DUMMYFUNCTION("""COMPUTED_VALUE"""),591842.0)</f>
        <v>591842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IFERROR(__xludf.DUMMYFUNCTION("""COMPUTED_VALUE"""),14.66)</f>
        <v>14.66</v>
      </c>
      <c r="C219" s="1">
        <f>IFERROR(__xludf.DUMMYFUNCTION("""COMPUTED_VALUE"""),14.87)</f>
        <v>14.87</v>
      </c>
      <c r="D219" s="1">
        <f>IFERROR(__xludf.DUMMYFUNCTION("""COMPUTED_VALUE"""),14.52)</f>
        <v>14.52</v>
      </c>
      <c r="E219" s="1">
        <f>IFERROR(__xludf.DUMMYFUNCTION("""COMPUTED_VALUE"""),14.82)</f>
        <v>14.82</v>
      </c>
      <c r="F219" s="1">
        <f>IFERROR(__xludf.DUMMYFUNCTION("""COMPUTED_VALUE"""),502531.0)</f>
        <v>502531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IFERROR(__xludf.DUMMYFUNCTION("""COMPUTED_VALUE"""),14.66)</f>
        <v>14.66</v>
      </c>
      <c r="C220" s="1">
        <f>IFERROR(__xludf.DUMMYFUNCTION("""COMPUTED_VALUE"""),14.75)</f>
        <v>14.75</v>
      </c>
      <c r="D220" s="1">
        <f>IFERROR(__xludf.DUMMYFUNCTION("""COMPUTED_VALUE"""),14.29)</f>
        <v>14.29</v>
      </c>
      <c r="E220" s="1">
        <f>IFERROR(__xludf.DUMMYFUNCTION("""COMPUTED_VALUE"""),14.3)</f>
        <v>14.3</v>
      </c>
      <c r="F220" s="1">
        <f>IFERROR(__xludf.DUMMYFUNCTION("""COMPUTED_VALUE"""),647285.0)</f>
        <v>647285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IFERROR(__xludf.DUMMYFUNCTION("""COMPUTED_VALUE"""),14.33)</f>
        <v>14.33</v>
      </c>
      <c r="C221" s="1">
        <f>IFERROR(__xludf.DUMMYFUNCTION("""COMPUTED_VALUE"""),14.64)</f>
        <v>14.64</v>
      </c>
      <c r="D221" s="1">
        <f>IFERROR(__xludf.DUMMYFUNCTION("""COMPUTED_VALUE"""),14.14)</f>
        <v>14.14</v>
      </c>
      <c r="E221" s="1">
        <f>IFERROR(__xludf.DUMMYFUNCTION("""COMPUTED_VALUE"""),14.41)</f>
        <v>14.41</v>
      </c>
      <c r="F221" s="1">
        <f>IFERROR(__xludf.DUMMYFUNCTION("""COMPUTED_VALUE"""),511565.0)</f>
        <v>511565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IFERROR(__xludf.DUMMYFUNCTION("""COMPUTED_VALUE"""),14.23)</f>
        <v>14.23</v>
      </c>
      <c r="C222" s="1">
        <f>IFERROR(__xludf.DUMMYFUNCTION("""COMPUTED_VALUE"""),14.34)</f>
        <v>14.34</v>
      </c>
      <c r="D222" s="1">
        <f>IFERROR(__xludf.DUMMYFUNCTION("""COMPUTED_VALUE"""),13.87)</f>
        <v>13.87</v>
      </c>
      <c r="E222" s="1">
        <f>IFERROR(__xludf.DUMMYFUNCTION("""COMPUTED_VALUE"""),14.04)</f>
        <v>14.04</v>
      </c>
      <c r="F222" s="1">
        <f>IFERROR(__xludf.DUMMYFUNCTION("""COMPUTED_VALUE"""),642531.0)</f>
        <v>642531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IFERROR(__xludf.DUMMYFUNCTION("""COMPUTED_VALUE"""),14.09)</f>
        <v>14.09</v>
      </c>
      <c r="C223" s="1">
        <f>IFERROR(__xludf.DUMMYFUNCTION("""COMPUTED_VALUE"""),14.11)</f>
        <v>14.11</v>
      </c>
      <c r="D223" s="1">
        <f>IFERROR(__xludf.DUMMYFUNCTION("""COMPUTED_VALUE"""),13.76)</f>
        <v>13.76</v>
      </c>
      <c r="E223" s="1">
        <f>IFERROR(__xludf.DUMMYFUNCTION("""COMPUTED_VALUE"""),13.84)</f>
        <v>13.84</v>
      </c>
      <c r="F223" s="1">
        <f>IFERROR(__xludf.DUMMYFUNCTION("""COMPUTED_VALUE"""),333777.0)</f>
        <v>333777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IFERROR(__xludf.DUMMYFUNCTION("""COMPUTED_VALUE"""),14.0)</f>
        <v>14</v>
      </c>
      <c r="C224" s="1">
        <f>IFERROR(__xludf.DUMMYFUNCTION("""COMPUTED_VALUE"""),14.29)</f>
        <v>14.29</v>
      </c>
      <c r="D224" s="1">
        <f>IFERROR(__xludf.DUMMYFUNCTION("""COMPUTED_VALUE"""),13.89)</f>
        <v>13.89</v>
      </c>
      <c r="E224" s="1">
        <f>IFERROR(__xludf.DUMMYFUNCTION("""COMPUTED_VALUE"""),13.91)</f>
        <v>13.91</v>
      </c>
      <c r="F224" s="1">
        <f>IFERROR(__xludf.DUMMYFUNCTION("""COMPUTED_VALUE"""),526454.0)</f>
        <v>526454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IFERROR(__xludf.DUMMYFUNCTION("""COMPUTED_VALUE"""),13.89)</f>
        <v>13.89</v>
      </c>
      <c r="C225" s="1">
        <f>IFERROR(__xludf.DUMMYFUNCTION("""COMPUTED_VALUE"""),14.31)</f>
        <v>14.31</v>
      </c>
      <c r="D225" s="1">
        <f>IFERROR(__xludf.DUMMYFUNCTION("""COMPUTED_VALUE"""),13.89)</f>
        <v>13.89</v>
      </c>
      <c r="E225" s="1">
        <f>IFERROR(__xludf.DUMMYFUNCTION("""COMPUTED_VALUE"""),14.12)</f>
        <v>14.12</v>
      </c>
      <c r="F225" s="1">
        <f>IFERROR(__xludf.DUMMYFUNCTION("""COMPUTED_VALUE"""),651075.0)</f>
        <v>651075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IFERROR(__xludf.DUMMYFUNCTION("""COMPUTED_VALUE"""),14.0)</f>
        <v>14</v>
      </c>
      <c r="C226" s="1">
        <f>IFERROR(__xludf.DUMMYFUNCTION("""COMPUTED_VALUE"""),14.15)</f>
        <v>14.15</v>
      </c>
      <c r="D226" s="1">
        <f>IFERROR(__xludf.DUMMYFUNCTION("""COMPUTED_VALUE"""),13.75)</f>
        <v>13.75</v>
      </c>
      <c r="E226" s="1">
        <f>IFERROR(__xludf.DUMMYFUNCTION("""COMPUTED_VALUE"""),13.99)</f>
        <v>13.99</v>
      </c>
      <c r="F226" s="1">
        <f>IFERROR(__xludf.DUMMYFUNCTION("""COMPUTED_VALUE"""),428433.0)</f>
        <v>428433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IFERROR(__xludf.DUMMYFUNCTION("""COMPUTED_VALUE"""),13.83)</f>
        <v>13.83</v>
      </c>
      <c r="C227" s="1">
        <f>IFERROR(__xludf.DUMMYFUNCTION("""COMPUTED_VALUE"""),13.92)</f>
        <v>13.92</v>
      </c>
      <c r="D227" s="1">
        <f>IFERROR(__xludf.DUMMYFUNCTION("""COMPUTED_VALUE"""),13.63)</f>
        <v>13.63</v>
      </c>
      <c r="E227" s="1">
        <f>IFERROR(__xludf.DUMMYFUNCTION("""COMPUTED_VALUE"""),13.69)</f>
        <v>13.69</v>
      </c>
      <c r="F227" s="1">
        <f>IFERROR(__xludf.DUMMYFUNCTION("""COMPUTED_VALUE"""),448677.0)</f>
        <v>448677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IFERROR(__xludf.DUMMYFUNCTION("""COMPUTED_VALUE"""),13.78)</f>
        <v>13.78</v>
      </c>
      <c r="C228" s="1">
        <f>IFERROR(__xludf.DUMMYFUNCTION("""COMPUTED_VALUE"""),14.17)</f>
        <v>14.17</v>
      </c>
      <c r="D228" s="1">
        <f>IFERROR(__xludf.DUMMYFUNCTION("""COMPUTED_VALUE"""),13.68)</f>
        <v>13.68</v>
      </c>
      <c r="E228" s="1">
        <f>IFERROR(__xludf.DUMMYFUNCTION("""COMPUTED_VALUE"""),14.08)</f>
        <v>14.08</v>
      </c>
      <c r="F228" s="1">
        <f>IFERROR(__xludf.DUMMYFUNCTION("""COMPUTED_VALUE"""),399908.0)</f>
        <v>399908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IFERROR(__xludf.DUMMYFUNCTION("""COMPUTED_VALUE"""),13.98)</f>
        <v>13.98</v>
      </c>
      <c r="C229" s="1">
        <f>IFERROR(__xludf.DUMMYFUNCTION("""COMPUTED_VALUE"""),14.25)</f>
        <v>14.25</v>
      </c>
      <c r="D229" s="1">
        <f>IFERROR(__xludf.DUMMYFUNCTION("""COMPUTED_VALUE"""),13.75)</f>
        <v>13.75</v>
      </c>
      <c r="E229" s="1">
        <f>IFERROR(__xludf.DUMMYFUNCTION("""COMPUTED_VALUE"""),13.75)</f>
        <v>13.75</v>
      </c>
      <c r="F229" s="1">
        <f>IFERROR(__xludf.DUMMYFUNCTION("""COMPUTED_VALUE"""),210532.0)</f>
        <v>210532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IFERROR(__xludf.DUMMYFUNCTION("""COMPUTED_VALUE"""),13.62)</f>
        <v>13.62</v>
      </c>
      <c r="C230" s="1">
        <f>IFERROR(__xludf.DUMMYFUNCTION("""COMPUTED_VALUE"""),13.94)</f>
        <v>13.94</v>
      </c>
      <c r="D230" s="1">
        <f>IFERROR(__xludf.DUMMYFUNCTION("""COMPUTED_VALUE"""),13.52)</f>
        <v>13.52</v>
      </c>
      <c r="E230" s="1">
        <f>IFERROR(__xludf.DUMMYFUNCTION("""COMPUTED_VALUE"""),13.79)</f>
        <v>13.79</v>
      </c>
      <c r="F230" s="1">
        <f>IFERROR(__xludf.DUMMYFUNCTION("""COMPUTED_VALUE"""),371017.0)</f>
        <v>371017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IFERROR(__xludf.DUMMYFUNCTION("""COMPUTED_VALUE"""),13.63)</f>
        <v>13.63</v>
      </c>
      <c r="C231" s="1">
        <f>IFERROR(__xludf.DUMMYFUNCTION("""COMPUTED_VALUE"""),13.76)</f>
        <v>13.76</v>
      </c>
      <c r="D231" s="1">
        <f>IFERROR(__xludf.DUMMYFUNCTION("""COMPUTED_VALUE"""),13.4)</f>
        <v>13.4</v>
      </c>
      <c r="E231" s="1">
        <f>IFERROR(__xludf.DUMMYFUNCTION("""COMPUTED_VALUE"""),13.51)</f>
        <v>13.51</v>
      </c>
      <c r="F231" s="1">
        <f>IFERROR(__xludf.DUMMYFUNCTION("""COMPUTED_VALUE"""),481517.0)</f>
        <v>481517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IFERROR(__xludf.DUMMYFUNCTION("""COMPUTED_VALUE"""),13.8)</f>
        <v>13.8</v>
      </c>
      <c r="C232" s="1">
        <f>IFERROR(__xludf.DUMMYFUNCTION("""COMPUTED_VALUE"""),14.0)</f>
        <v>14</v>
      </c>
      <c r="D232" s="1">
        <f>IFERROR(__xludf.DUMMYFUNCTION("""COMPUTED_VALUE"""),13.66)</f>
        <v>13.66</v>
      </c>
      <c r="E232" s="1">
        <f>IFERROR(__xludf.DUMMYFUNCTION("""COMPUTED_VALUE"""),14.0)</f>
        <v>14</v>
      </c>
      <c r="F232" s="1">
        <f>IFERROR(__xludf.DUMMYFUNCTION("""COMPUTED_VALUE"""),670500.0)</f>
        <v>670500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IFERROR(__xludf.DUMMYFUNCTION("""COMPUTED_VALUE"""),14.03)</f>
        <v>14.03</v>
      </c>
      <c r="C233" s="1">
        <f>IFERROR(__xludf.DUMMYFUNCTION("""COMPUTED_VALUE"""),14.62)</f>
        <v>14.62</v>
      </c>
      <c r="D233" s="1">
        <f>IFERROR(__xludf.DUMMYFUNCTION("""COMPUTED_VALUE"""),14.03)</f>
        <v>14.03</v>
      </c>
      <c r="E233" s="1">
        <f>IFERROR(__xludf.DUMMYFUNCTION("""COMPUTED_VALUE"""),14.59)</f>
        <v>14.59</v>
      </c>
      <c r="F233" s="1">
        <f>IFERROR(__xludf.DUMMYFUNCTION("""COMPUTED_VALUE"""),659886.0)</f>
        <v>659886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IFERROR(__xludf.DUMMYFUNCTION("""COMPUTED_VALUE"""),14.45)</f>
        <v>14.45</v>
      </c>
      <c r="C234" s="1">
        <f>IFERROR(__xludf.DUMMYFUNCTION("""COMPUTED_VALUE"""),14.75)</f>
        <v>14.75</v>
      </c>
      <c r="D234" s="1">
        <f>IFERROR(__xludf.DUMMYFUNCTION("""COMPUTED_VALUE"""),14.08)</f>
        <v>14.08</v>
      </c>
      <c r="E234" s="1">
        <f>IFERROR(__xludf.DUMMYFUNCTION("""COMPUTED_VALUE"""),14.72)</f>
        <v>14.72</v>
      </c>
      <c r="F234" s="1">
        <f>IFERROR(__xludf.DUMMYFUNCTION("""COMPUTED_VALUE"""),405908.0)</f>
        <v>405908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IFERROR(__xludf.DUMMYFUNCTION("""COMPUTED_VALUE"""),14.66)</f>
        <v>14.66</v>
      </c>
      <c r="C235" s="1">
        <f>IFERROR(__xludf.DUMMYFUNCTION("""COMPUTED_VALUE"""),14.74)</f>
        <v>14.74</v>
      </c>
      <c r="D235" s="1">
        <f>IFERROR(__xludf.DUMMYFUNCTION("""COMPUTED_VALUE"""),14.21)</f>
        <v>14.21</v>
      </c>
      <c r="E235" s="1">
        <f>IFERROR(__xludf.DUMMYFUNCTION("""COMPUTED_VALUE"""),14.51)</f>
        <v>14.51</v>
      </c>
      <c r="F235" s="1">
        <f>IFERROR(__xludf.DUMMYFUNCTION("""COMPUTED_VALUE"""),776684.0)</f>
        <v>776684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IFERROR(__xludf.DUMMYFUNCTION("""COMPUTED_VALUE"""),14.72)</f>
        <v>14.72</v>
      </c>
      <c r="C236" s="1">
        <f>IFERROR(__xludf.DUMMYFUNCTION("""COMPUTED_VALUE"""),14.73)</f>
        <v>14.73</v>
      </c>
      <c r="D236" s="1">
        <f>IFERROR(__xludf.DUMMYFUNCTION("""COMPUTED_VALUE"""),14.33)</f>
        <v>14.33</v>
      </c>
      <c r="E236" s="1">
        <f>IFERROR(__xludf.DUMMYFUNCTION("""COMPUTED_VALUE"""),14.41)</f>
        <v>14.41</v>
      </c>
      <c r="F236" s="1">
        <f>IFERROR(__xludf.DUMMYFUNCTION("""COMPUTED_VALUE"""),779249.0)</f>
        <v>779249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IFERROR(__xludf.DUMMYFUNCTION("""COMPUTED_VALUE"""),14.39)</f>
        <v>14.39</v>
      </c>
      <c r="C237" s="1">
        <f>IFERROR(__xludf.DUMMYFUNCTION("""COMPUTED_VALUE"""),15.22)</f>
        <v>15.22</v>
      </c>
      <c r="D237" s="1">
        <f>IFERROR(__xludf.DUMMYFUNCTION("""COMPUTED_VALUE"""),14.38)</f>
        <v>14.38</v>
      </c>
      <c r="E237" s="1">
        <f>IFERROR(__xludf.DUMMYFUNCTION("""COMPUTED_VALUE"""),14.93)</f>
        <v>14.93</v>
      </c>
      <c r="F237" s="1">
        <f>IFERROR(__xludf.DUMMYFUNCTION("""COMPUTED_VALUE"""),705689.0)</f>
        <v>705689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IFERROR(__xludf.DUMMYFUNCTION("""COMPUTED_VALUE"""),15.12)</f>
        <v>15.12</v>
      </c>
      <c r="C238" s="1">
        <f>IFERROR(__xludf.DUMMYFUNCTION("""COMPUTED_VALUE"""),15.76)</f>
        <v>15.76</v>
      </c>
      <c r="D238" s="1">
        <f>IFERROR(__xludf.DUMMYFUNCTION("""COMPUTED_VALUE"""),14.94)</f>
        <v>14.94</v>
      </c>
      <c r="E238" s="1">
        <f>IFERROR(__xludf.DUMMYFUNCTION("""COMPUTED_VALUE"""),15.7)</f>
        <v>15.7</v>
      </c>
      <c r="F238" s="1">
        <f>IFERROR(__xludf.DUMMYFUNCTION("""COMPUTED_VALUE"""),1078918.0)</f>
        <v>1078918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IFERROR(__xludf.DUMMYFUNCTION("""COMPUTED_VALUE"""),15.76)</f>
        <v>15.76</v>
      </c>
      <c r="C239" s="1">
        <f>IFERROR(__xludf.DUMMYFUNCTION("""COMPUTED_VALUE"""),16.06)</f>
        <v>16.06</v>
      </c>
      <c r="D239" s="1">
        <f>IFERROR(__xludf.DUMMYFUNCTION("""COMPUTED_VALUE"""),15.44)</f>
        <v>15.44</v>
      </c>
      <c r="E239" s="1">
        <f>IFERROR(__xludf.DUMMYFUNCTION("""COMPUTED_VALUE"""),16.05)</f>
        <v>16.05</v>
      </c>
      <c r="F239" s="1">
        <f>IFERROR(__xludf.DUMMYFUNCTION("""COMPUTED_VALUE"""),561430.0)</f>
        <v>561430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IFERROR(__xludf.DUMMYFUNCTION("""COMPUTED_VALUE"""),16.1)</f>
        <v>16.1</v>
      </c>
      <c r="C240" s="1">
        <f>IFERROR(__xludf.DUMMYFUNCTION("""COMPUTED_VALUE"""),16.45)</f>
        <v>16.45</v>
      </c>
      <c r="D240" s="1">
        <f>IFERROR(__xludf.DUMMYFUNCTION("""COMPUTED_VALUE"""),15.8)</f>
        <v>15.8</v>
      </c>
      <c r="E240" s="1">
        <f>IFERROR(__xludf.DUMMYFUNCTION("""COMPUTED_VALUE"""),16.22)</f>
        <v>16.22</v>
      </c>
      <c r="F240" s="1">
        <f>IFERROR(__xludf.DUMMYFUNCTION("""COMPUTED_VALUE"""),659424.0)</f>
        <v>659424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IFERROR(__xludf.DUMMYFUNCTION("""COMPUTED_VALUE"""),15.9)</f>
        <v>15.9</v>
      </c>
      <c r="C241" s="1">
        <f>IFERROR(__xludf.DUMMYFUNCTION("""COMPUTED_VALUE"""),15.94)</f>
        <v>15.94</v>
      </c>
      <c r="D241" s="1">
        <f>IFERROR(__xludf.DUMMYFUNCTION("""COMPUTED_VALUE"""),15.25)</f>
        <v>15.25</v>
      </c>
      <c r="E241" s="1">
        <f>IFERROR(__xludf.DUMMYFUNCTION("""COMPUTED_VALUE"""),15.36)</f>
        <v>15.36</v>
      </c>
      <c r="F241" s="1">
        <f>IFERROR(__xludf.DUMMYFUNCTION("""COMPUTED_VALUE"""),1278100.0)</f>
        <v>1278100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IFERROR(__xludf.DUMMYFUNCTION("""COMPUTED_VALUE"""),15.39)</f>
        <v>15.39</v>
      </c>
      <c r="C242" s="1">
        <f>IFERROR(__xludf.DUMMYFUNCTION("""COMPUTED_VALUE"""),15.94)</f>
        <v>15.94</v>
      </c>
      <c r="D242" s="1">
        <f>IFERROR(__xludf.DUMMYFUNCTION("""COMPUTED_VALUE"""),15.09)</f>
        <v>15.09</v>
      </c>
      <c r="E242" s="1">
        <f>IFERROR(__xludf.DUMMYFUNCTION("""COMPUTED_VALUE"""),15.11)</f>
        <v>15.11</v>
      </c>
      <c r="F242" s="1">
        <f>IFERROR(__xludf.DUMMYFUNCTION("""COMPUTED_VALUE"""),1129321.0)</f>
        <v>1129321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IFERROR(__xludf.DUMMYFUNCTION("""COMPUTED_VALUE"""),15.2)</f>
        <v>15.2</v>
      </c>
      <c r="C243" s="1">
        <f>IFERROR(__xludf.DUMMYFUNCTION("""COMPUTED_VALUE"""),15.5)</f>
        <v>15.5</v>
      </c>
      <c r="D243" s="1">
        <f>IFERROR(__xludf.DUMMYFUNCTION("""COMPUTED_VALUE"""),15.11)</f>
        <v>15.11</v>
      </c>
      <c r="E243" s="1">
        <f>IFERROR(__xludf.DUMMYFUNCTION("""COMPUTED_VALUE"""),15.32)</f>
        <v>15.32</v>
      </c>
      <c r="F243" s="1">
        <f>IFERROR(__xludf.DUMMYFUNCTION("""COMPUTED_VALUE"""),624368.0)</f>
        <v>624368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IFERROR(__xludf.DUMMYFUNCTION("""COMPUTED_VALUE"""),15.26)</f>
        <v>15.26</v>
      </c>
      <c r="C244" s="1">
        <f>IFERROR(__xludf.DUMMYFUNCTION("""COMPUTED_VALUE"""),15.5)</f>
        <v>15.5</v>
      </c>
      <c r="D244" s="1">
        <f>IFERROR(__xludf.DUMMYFUNCTION("""COMPUTED_VALUE"""),15.19)</f>
        <v>15.19</v>
      </c>
      <c r="E244" s="1">
        <f>IFERROR(__xludf.DUMMYFUNCTION("""COMPUTED_VALUE"""),15.25)</f>
        <v>15.25</v>
      </c>
      <c r="F244" s="1">
        <f>IFERROR(__xludf.DUMMYFUNCTION("""COMPUTED_VALUE"""),2045093.0)</f>
        <v>2045093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IFERROR(__xludf.DUMMYFUNCTION("""COMPUTED_VALUE"""),15.3)</f>
        <v>15.3</v>
      </c>
      <c r="C245" s="1">
        <f>IFERROR(__xludf.DUMMYFUNCTION("""COMPUTED_VALUE"""),15.84)</f>
        <v>15.84</v>
      </c>
      <c r="D245" s="1">
        <f>IFERROR(__xludf.DUMMYFUNCTION("""COMPUTED_VALUE"""),15.3)</f>
        <v>15.3</v>
      </c>
      <c r="E245" s="1">
        <f>IFERROR(__xludf.DUMMYFUNCTION("""COMPUTED_VALUE"""),15.66)</f>
        <v>15.66</v>
      </c>
      <c r="F245" s="1">
        <f>IFERROR(__xludf.DUMMYFUNCTION("""COMPUTED_VALUE"""),856598.0)</f>
        <v>856598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IFERROR(__xludf.DUMMYFUNCTION("""COMPUTED_VALUE"""),15.8)</f>
        <v>15.8</v>
      </c>
      <c r="C246" s="1">
        <f>IFERROR(__xludf.DUMMYFUNCTION("""COMPUTED_VALUE"""),16.27)</f>
        <v>16.27</v>
      </c>
      <c r="D246" s="1">
        <f>IFERROR(__xludf.DUMMYFUNCTION("""COMPUTED_VALUE"""),15.63)</f>
        <v>15.63</v>
      </c>
      <c r="E246" s="1">
        <f>IFERROR(__xludf.DUMMYFUNCTION("""COMPUTED_VALUE"""),16.22)</f>
        <v>16.22</v>
      </c>
      <c r="F246" s="1">
        <f>IFERROR(__xludf.DUMMYFUNCTION("""COMPUTED_VALUE"""),615826.0)</f>
        <v>615826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IFERROR(__xludf.DUMMYFUNCTION("""COMPUTED_VALUE"""),16.26)</f>
        <v>16.26</v>
      </c>
      <c r="C247" s="1">
        <f>IFERROR(__xludf.DUMMYFUNCTION("""COMPUTED_VALUE"""),16.62)</f>
        <v>16.62</v>
      </c>
      <c r="D247" s="1">
        <f>IFERROR(__xludf.DUMMYFUNCTION("""COMPUTED_VALUE"""),16.08)</f>
        <v>16.08</v>
      </c>
      <c r="E247" s="1">
        <f>IFERROR(__xludf.DUMMYFUNCTION("""COMPUTED_VALUE"""),16.33)</f>
        <v>16.33</v>
      </c>
      <c r="F247" s="1">
        <f>IFERROR(__xludf.DUMMYFUNCTION("""COMPUTED_VALUE"""),712219.0)</f>
        <v>712219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IFERROR(__xludf.DUMMYFUNCTION("""COMPUTED_VALUE"""),16.37)</f>
        <v>16.37</v>
      </c>
      <c r="C248" s="1">
        <f>IFERROR(__xludf.DUMMYFUNCTION("""COMPUTED_VALUE"""),16.49)</f>
        <v>16.49</v>
      </c>
      <c r="D248" s="1">
        <f>IFERROR(__xludf.DUMMYFUNCTION("""COMPUTED_VALUE"""),16.15)</f>
        <v>16.15</v>
      </c>
      <c r="E248" s="1">
        <f>IFERROR(__xludf.DUMMYFUNCTION("""COMPUTED_VALUE"""),16.27)</f>
        <v>16.27</v>
      </c>
      <c r="F248" s="1">
        <f>IFERROR(__xludf.DUMMYFUNCTION("""COMPUTED_VALUE"""),308534.0)</f>
        <v>308534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IFERROR(__xludf.DUMMYFUNCTION("""COMPUTED_VALUE"""),16.19)</f>
        <v>16.19</v>
      </c>
      <c r="C249" s="1">
        <f>IFERROR(__xludf.DUMMYFUNCTION("""COMPUTED_VALUE"""),16.6)</f>
        <v>16.6</v>
      </c>
      <c r="D249" s="1">
        <f>IFERROR(__xludf.DUMMYFUNCTION("""COMPUTED_VALUE"""),16.15)</f>
        <v>16.15</v>
      </c>
      <c r="E249" s="1">
        <f>IFERROR(__xludf.DUMMYFUNCTION("""COMPUTED_VALUE"""),16.56)</f>
        <v>16.56</v>
      </c>
      <c r="F249" s="1">
        <f>IFERROR(__xludf.DUMMYFUNCTION("""COMPUTED_VALUE"""),525840.0)</f>
        <v>525840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IFERROR(__xludf.DUMMYFUNCTION("""COMPUTED_VALUE"""),16.51)</f>
        <v>16.51</v>
      </c>
      <c r="C250" s="1">
        <f>IFERROR(__xludf.DUMMYFUNCTION("""COMPUTED_VALUE"""),16.96)</f>
        <v>16.96</v>
      </c>
      <c r="D250" s="1">
        <f>IFERROR(__xludf.DUMMYFUNCTION("""COMPUTED_VALUE"""),16.32)</f>
        <v>16.32</v>
      </c>
      <c r="E250" s="1">
        <f>IFERROR(__xludf.DUMMYFUNCTION("""COMPUTED_VALUE"""),16.94)</f>
        <v>16.94</v>
      </c>
      <c r="F250" s="1">
        <f>IFERROR(__xludf.DUMMYFUNCTION("""COMPUTED_VALUE"""),598151.0)</f>
        <v>598151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IFERROR(__xludf.DUMMYFUNCTION("""COMPUTED_VALUE"""),16.96)</f>
        <v>16.96</v>
      </c>
      <c r="C251" s="1">
        <f>IFERROR(__xludf.DUMMYFUNCTION("""COMPUTED_VALUE"""),16.96)</f>
        <v>16.96</v>
      </c>
      <c r="D251" s="1">
        <f>IFERROR(__xludf.DUMMYFUNCTION("""COMPUTED_VALUE"""),16.5)</f>
        <v>16.5</v>
      </c>
      <c r="E251" s="1">
        <f>IFERROR(__xludf.DUMMYFUNCTION("""COMPUTED_VALUE"""),16.73)</f>
        <v>16.73</v>
      </c>
      <c r="F251" s="1">
        <f>IFERROR(__xludf.DUMMYFUNCTION("""COMPUTED_VALUE"""),615997.0)</f>
        <v>615997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IFERROR(__xludf.DUMMYFUNCTION("""COMPUTED_VALUE"""),16.75)</f>
        <v>16.75</v>
      </c>
      <c r="C252" s="1">
        <f>IFERROR(__xludf.DUMMYFUNCTION("""COMPUTED_VALUE"""),17.06)</f>
        <v>17.06</v>
      </c>
      <c r="D252" s="1">
        <f>IFERROR(__xludf.DUMMYFUNCTION("""COMPUTED_VALUE"""),16.74)</f>
        <v>16.74</v>
      </c>
      <c r="E252" s="1">
        <f>IFERROR(__xludf.DUMMYFUNCTION("""COMPUTED_VALUE"""),16.96)</f>
        <v>16.96</v>
      </c>
      <c r="F252" s="1">
        <f>IFERROR(__xludf.DUMMYFUNCTION("""COMPUTED_VALUE"""),465640.0)</f>
        <v>465640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IFERROR(__xludf.DUMMYFUNCTION("""COMPUTED_VALUE"""),16.95)</f>
        <v>16.95</v>
      </c>
      <c r="C253" s="1">
        <f>IFERROR(__xludf.DUMMYFUNCTION("""COMPUTED_VALUE"""),17.04)</f>
        <v>17.04</v>
      </c>
      <c r="D253" s="1">
        <f>IFERROR(__xludf.DUMMYFUNCTION("""COMPUTED_VALUE"""),16.7)</f>
        <v>16.7</v>
      </c>
      <c r="E253" s="1">
        <f>IFERROR(__xludf.DUMMYFUNCTION("""COMPUTED_VALUE"""),16.7)</f>
        <v>16.7</v>
      </c>
      <c r="F253" s="1">
        <f>IFERROR(__xludf.DUMMYFUNCTION("""COMPUTED_VALUE"""),480339.0)</f>
        <v>480339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IFERROR(__xludf.DUMMYFUNCTION("""COMPUTED_VALUE"""),16.98)</f>
        <v>16.98</v>
      </c>
      <c r="C254" s="1">
        <f>IFERROR(__xludf.DUMMYFUNCTION("""COMPUTED_VALUE"""),17.14)</f>
        <v>17.14</v>
      </c>
      <c r="D254" s="1">
        <f>IFERROR(__xludf.DUMMYFUNCTION("""COMPUTED_VALUE"""),16.47)</f>
        <v>16.47</v>
      </c>
      <c r="E254" s="1">
        <f>IFERROR(__xludf.DUMMYFUNCTION("""COMPUTED_VALUE"""),16.88)</f>
        <v>16.88</v>
      </c>
      <c r="F254" s="1">
        <f>IFERROR(__xludf.DUMMYFUNCTION("""COMPUTED_VALUE"""),654349.0)</f>
        <v>654349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IFERROR(__xludf.DUMMYFUNCTION("""COMPUTED_VALUE"""),16.99)</f>
        <v>16.99</v>
      </c>
      <c r="C255" s="1">
        <f>IFERROR(__xludf.DUMMYFUNCTION("""COMPUTED_VALUE"""),17.08)</f>
        <v>17.08</v>
      </c>
      <c r="D255" s="1">
        <f>IFERROR(__xludf.DUMMYFUNCTION("""COMPUTED_VALUE"""),16.46)</f>
        <v>16.46</v>
      </c>
      <c r="E255" s="1">
        <f>IFERROR(__xludf.DUMMYFUNCTION("""COMPUTED_VALUE"""),16.73)</f>
        <v>16.73</v>
      </c>
      <c r="F255" s="1">
        <f>IFERROR(__xludf.DUMMYFUNCTION("""COMPUTED_VALUE"""),756233.0)</f>
        <v>756233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IFERROR(__xludf.DUMMYFUNCTION("""COMPUTED_VALUE"""),16.72)</f>
        <v>16.72</v>
      </c>
      <c r="C256" s="1">
        <f>IFERROR(__xludf.DUMMYFUNCTION("""COMPUTED_VALUE"""),17.17)</f>
        <v>17.17</v>
      </c>
      <c r="D256" s="1">
        <f>IFERROR(__xludf.DUMMYFUNCTION("""COMPUTED_VALUE"""),16.72)</f>
        <v>16.72</v>
      </c>
      <c r="E256" s="1">
        <f>IFERROR(__xludf.DUMMYFUNCTION("""COMPUTED_VALUE"""),17.11)</f>
        <v>17.11</v>
      </c>
      <c r="F256" s="1">
        <f>IFERROR(__xludf.DUMMYFUNCTION("""COMPUTED_VALUE"""),582366.0)</f>
        <v>582366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IFERROR(__xludf.DUMMYFUNCTION("""COMPUTED_VALUE"""),16.81)</f>
        <v>16.81</v>
      </c>
      <c r="C257" s="1">
        <f>IFERROR(__xludf.DUMMYFUNCTION("""COMPUTED_VALUE"""),17.0)</f>
        <v>17</v>
      </c>
      <c r="D257" s="1">
        <f>IFERROR(__xludf.DUMMYFUNCTION("""COMPUTED_VALUE"""),16.69)</f>
        <v>16.69</v>
      </c>
      <c r="E257" s="1">
        <f>IFERROR(__xludf.DUMMYFUNCTION("""COMPUTED_VALUE"""),16.75)</f>
        <v>16.75</v>
      </c>
      <c r="F257" s="1">
        <f>IFERROR(__xludf.DUMMYFUNCTION("""COMPUTED_VALUE"""),949192.0)</f>
        <v>949192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IFERROR(__xludf.DUMMYFUNCTION("""COMPUTED_VALUE"""),16.75)</f>
        <v>16.75</v>
      </c>
      <c r="C258" s="1">
        <f>IFERROR(__xludf.DUMMYFUNCTION("""COMPUTED_VALUE"""),16.75)</f>
        <v>16.75</v>
      </c>
      <c r="D258" s="1">
        <f>IFERROR(__xludf.DUMMYFUNCTION("""COMPUTED_VALUE"""),15.74)</f>
        <v>15.74</v>
      </c>
      <c r="E258" s="1">
        <f>IFERROR(__xludf.DUMMYFUNCTION("""COMPUTED_VALUE"""),15.86)</f>
        <v>15.86</v>
      </c>
      <c r="F258" s="1">
        <f>IFERROR(__xludf.DUMMYFUNCTION("""COMPUTED_VALUE"""),1169343.0)</f>
        <v>1169343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IFERROR(__xludf.DUMMYFUNCTION("""COMPUTED_VALUE"""),15.74)</f>
        <v>15.74</v>
      </c>
      <c r="C259" s="1">
        <f>IFERROR(__xludf.DUMMYFUNCTION("""COMPUTED_VALUE"""),16.52)</f>
        <v>16.52</v>
      </c>
      <c r="D259" s="1">
        <f>IFERROR(__xludf.DUMMYFUNCTION("""COMPUTED_VALUE"""),15.4)</f>
        <v>15.4</v>
      </c>
      <c r="E259" s="1">
        <f>IFERROR(__xludf.DUMMYFUNCTION("""COMPUTED_VALUE"""),16.4)</f>
        <v>16.4</v>
      </c>
      <c r="F259" s="1">
        <f>IFERROR(__xludf.DUMMYFUNCTION("""COMPUTED_VALUE"""),803309.0)</f>
        <v>803309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IFERROR(__xludf.DUMMYFUNCTION("""COMPUTED_VALUE"""),16.52)</f>
        <v>16.52</v>
      </c>
      <c r="C260" s="1">
        <f>IFERROR(__xludf.DUMMYFUNCTION("""COMPUTED_VALUE"""),16.68)</f>
        <v>16.68</v>
      </c>
      <c r="D260" s="1">
        <f>IFERROR(__xludf.DUMMYFUNCTION("""COMPUTED_VALUE"""),16.28)</f>
        <v>16.28</v>
      </c>
      <c r="E260" s="1">
        <f>IFERROR(__xludf.DUMMYFUNCTION("""COMPUTED_VALUE"""),16.43)</f>
        <v>16.43</v>
      </c>
      <c r="F260" s="1">
        <f>IFERROR(__xludf.DUMMYFUNCTION("""COMPUTED_VALUE"""),411714.0)</f>
        <v>411714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IFERROR(__xludf.DUMMYFUNCTION("""COMPUTED_VALUE"""),16.71)</f>
        <v>16.71</v>
      </c>
      <c r="C261" s="1">
        <f>IFERROR(__xludf.DUMMYFUNCTION("""COMPUTED_VALUE"""),16.87)</f>
        <v>16.87</v>
      </c>
      <c r="D261" s="1">
        <f>IFERROR(__xludf.DUMMYFUNCTION("""COMPUTED_VALUE"""),16.33)</f>
        <v>16.33</v>
      </c>
      <c r="E261" s="1">
        <f>IFERROR(__xludf.DUMMYFUNCTION("""COMPUTED_VALUE"""),16.42)</f>
        <v>16.42</v>
      </c>
      <c r="F261" s="1">
        <f>IFERROR(__xludf.DUMMYFUNCTION("""COMPUTED_VALUE"""),512049.0)</f>
        <v>512049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IFERROR(__xludf.DUMMYFUNCTION("""COMPUTED_VALUE"""),16.44)</f>
        <v>16.44</v>
      </c>
      <c r="C262" s="1">
        <f>IFERROR(__xludf.DUMMYFUNCTION("""COMPUTED_VALUE"""),16.65)</f>
        <v>16.65</v>
      </c>
      <c r="D262" s="1">
        <f>IFERROR(__xludf.DUMMYFUNCTION("""COMPUTED_VALUE"""),16.27)</f>
        <v>16.27</v>
      </c>
      <c r="E262" s="1">
        <f>IFERROR(__xludf.DUMMYFUNCTION("""COMPUTED_VALUE"""),16.32)</f>
        <v>16.32</v>
      </c>
      <c r="F262" s="1">
        <f>IFERROR(__xludf.DUMMYFUNCTION("""COMPUTED_VALUE"""),465739.0)</f>
        <v>465739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IFERROR(__xludf.DUMMYFUNCTION("""COMPUTED_VALUE"""),16.38)</f>
        <v>16.38</v>
      </c>
      <c r="C263" s="1">
        <f>IFERROR(__xludf.DUMMYFUNCTION("""COMPUTED_VALUE"""),17.38)</f>
        <v>17.38</v>
      </c>
      <c r="D263" s="1">
        <f>IFERROR(__xludf.DUMMYFUNCTION("""COMPUTED_VALUE"""),16.37)</f>
        <v>16.37</v>
      </c>
      <c r="E263" s="1">
        <f>IFERROR(__xludf.DUMMYFUNCTION("""COMPUTED_VALUE"""),17.31)</f>
        <v>17.31</v>
      </c>
      <c r="F263" s="1">
        <f>IFERROR(__xludf.DUMMYFUNCTION("""COMPUTED_VALUE"""),1043398.0)</f>
        <v>1043398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IFERROR(__xludf.DUMMYFUNCTION("""COMPUTED_VALUE"""),17.33)</f>
        <v>17.33</v>
      </c>
      <c r="C264" s="1">
        <f>IFERROR(__xludf.DUMMYFUNCTION("""COMPUTED_VALUE"""),17.33)</f>
        <v>17.33</v>
      </c>
      <c r="D264" s="1">
        <f>IFERROR(__xludf.DUMMYFUNCTION("""COMPUTED_VALUE"""),16.93)</f>
        <v>16.93</v>
      </c>
      <c r="E264" s="1">
        <f>IFERROR(__xludf.DUMMYFUNCTION("""COMPUTED_VALUE"""),17.05)</f>
        <v>17.05</v>
      </c>
      <c r="F264" s="1">
        <f>IFERROR(__xludf.DUMMYFUNCTION("""COMPUTED_VALUE"""),774692.0)</f>
        <v>774692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IFERROR(__xludf.DUMMYFUNCTION("""COMPUTED_VALUE"""),16.96)</f>
        <v>16.96</v>
      </c>
      <c r="C265" s="1">
        <f>IFERROR(__xludf.DUMMYFUNCTION("""COMPUTED_VALUE"""),17.14)</f>
        <v>17.14</v>
      </c>
      <c r="D265" s="1">
        <f>IFERROR(__xludf.DUMMYFUNCTION("""COMPUTED_VALUE"""),16.47)</f>
        <v>16.47</v>
      </c>
      <c r="E265" s="1">
        <f>IFERROR(__xludf.DUMMYFUNCTION("""COMPUTED_VALUE"""),16.5)</f>
        <v>16.5</v>
      </c>
      <c r="F265" s="1">
        <f>IFERROR(__xludf.DUMMYFUNCTION("""COMPUTED_VALUE"""),629862.0)</f>
        <v>629862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IFERROR(__xludf.DUMMYFUNCTION("""COMPUTED_VALUE"""),16.37)</f>
        <v>16.37</v>
      </c>
      <c r="C266" s="1">
        <f>IFERROR(__xludf.DUMMYFUNCTION("""COMPUTED_VALUE"""),16.73)</f>
        <v>16.73</v>
      </c>
      <c r="D266" s="1">
        <f>IFERROR(__xludf.DUMMYFUNCTION("""COMPUTED_VALUE"""),16.11)</f>
        <v>16.11</v>
      </c>
      <c r="E266" s="1">
        <f>IFERROR(__xludf.DUMMYFUNCTION("""COMPUTED_VALUE"""),16.22)</f>
        <v>16.22</v>
      </c>
      <c r="F266" s="1">
        <f>IFERROR(__xludf.DUMMYFUNCTION("""COMPUTED_VALUE"""),961669.0)</f>
        <v>961669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IFERROR(__xludf.DUMMYFUNCTION("""COMPUTED_VALUE"""),16.32)</f>
        <v>16.32</v>
      </c>
      <c r="C267" s="1">
        <f>IFERROR(__xludf.DUMMYFUNCTION("""COMPUTED_VALUE"""),16.42)</f>
        <v>16.42</v>
      </c>
      <c r="D267" s="1">
        <f>IFERROR(__xludf.DUMMYFUNCTION("""COMPUTED_VALUE"""),16.19)</f>
        <v>16.19</v>
      </c>
      <c r="E267" s="1">
        <f>IFERROR(__xludf.DUMMYFUNCTION("""COMPUTED_VALUE"""),16.2)</f>
        <v>16.2</v>
      </c>
      <c r="F267" s="1">
        <f>IFERROR(__xludf.DUMMYFUNCTION("""COMPUTED_VALUE"""),465938.0)</f>
        <v>465938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IFERROR(__xludf.DUMMYFUNCTION("""COMPUTED_VALUE"""),16.23)</f>
        <v>16.23</v>
      </c>
      <c r="C268" s="1">
        <f>IFERROR(__xludf.DUMMYFUNCTION("""COMPUTED_VALUE"""),16.35)</f>
        <v>16.35</v>
      </c>
      <c r="D268" s="1">
        <f>IFERROR(__xludf.DUMMYFUNCTION("""COMPUTED_VALUE"""),16.04)</f>
        <v>16.04</v>
      </c>
      <c r="E268" s="1">
        <f>IFERROR(__xludf.DUMMYFUNCTION("""COMPUTED_VALUE"""),16.21)</f>
        <v>16.21</v>
      </c>
      <c r="F268" s="1">
        <f>IFERROR(__xludf.DUMMYFUNCTION("""COMPUTED_VALUE"""),423022.0)</f>
        <v>423022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IFERROR(__xludf.DUMMYFUNCTION("""COMPUTED_VALUE"""),16.38)</f>
        <v>16.38</v>
      </c>
      <c r="C269" s="1">
        <f>IFERROR(__xludf.DUMMYFUNCTION("""COMPUTED_VALUE"""),17.5)</f>
        <v>17.5</v>
      </c>
      <c r="D269" s="1">
        <f>IFERROR(__xludf.DUMMYFUNCTION("""COMPUTED_VALUE"""),16.37)</f>
        <v>16.37</v>
      </c>
      <c r="E269" s="1">
        <f>IFERROR(__xludf.DUMMYFUNCTION("""COMPUTED_VALUE"""),17.49)</f>
        <v>17.49</v>
      </c>
      <c r="F269" s="1">
        <f>IFERROR(__xludf.DUMMYFUNCTION("""COMPUTED_VALUE"""),1692075.0)</f>
        <v>1692075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IFERROR(__xludf.DUMMYFUNCTION("""COMPUTED_VALUE"""),17.61)</f>
        <v>17.61</v>
      </c>
      <c r="C270" s="1">
        <f>IFERROR(__xludf.DUMMYFUNCTION("""COMPUTED_VALUE"""),18.26)</f>
        <v>18.26</v>
      </c>
      <c r="D270" s="1">
        <f>IFERROR(__xludf.DUMMYFUNCTION("""COMPUTED_VALUE"""),17.43)</f>
        <v>17.43</v>
      </c>
      <c r="E270" s="1">
        <f>IFERROR(__xludf.DUMMYFUNCTION("""COMPUTED_VALUE"""),17.76)</f>
        <v>17.76</v>
      </c>
      <c r="F270" s="1">
        <f>IFERROR(__xludf.DUMMYFUNCTION("""COMPUTED_VALUE"""),1369384.0)</f>
        <v>1369384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IFERROR(__xludf.DUMMYFUNCTION("""COMPUTED_VALUE"""),17.68)</f>
        <v>17.68</v>
      </c>
      <c r="C271" s="1">
        <f>IFERROR(__xludf.DUMMYFUNCTION("""COMPUTED_VALUE"""),17.94)</f>
        <v>17.94</v>
      </c>
      <c r="D271" s="1">
        <f>IFERROR(__xludf.DUMMYFUNCTION("""COMPUTED_VALUE"""),17.53)</f>
        <v>17.53</v>
      </c>
      <c r="E271" s="1">
        <f>IFERROR(__xludf.DUMMYFUNCTION("""COMPUTED_VALUE"""),17.62)</f>
        <v>17.62</v>
      </c>
      <c r="F271" s="1">
        <f>IFERROR(__xludf.DUMMYFUNCTION("""COMPUTED_VALUE"""),713122.0)</f>
        <v>713122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IFERROR(__xludf.DUMMYFUNCTION("""COMPUTED_VALUE"""),17.6)</f>
        <v>17.6</v>
      </c>
      <c r="C272" s="1">
        <f>IFERROR(__xludf.DUMMYFUNCTION("""COMPUTED_VALUE"""),17.83)</f>
        <v>17.83</v>
      </c>
      <c r="D272" s="1">
        <f>IFERROR(__xludf.DUMMYFUNCTION("""COMPUTED_VALUE"""),17.1)</f>
        <v>17.1</v>
      </c>
      <c r="E272" s="1">
        <f>IFERROR(__xludf.DUMMYFUNCTION("""COMPUTED_VALUE"""),17.12)</f>
        <v>17.12</v>
      </c>
      <c r="F272" s="1">
        <f>IFERROR(__xludf.DUMMYFUNCTION("""COMPUTED_VALUE"""),709937.0)</f>
        <v>709937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IFERROR(__xludf.DUMMYFUNCTION("""COMPUTED_VALUE"""),17.27)</f>
        <v>17.27</v>
      </c>
      <c r="C273" s="1">
        <f>IFERROR(__xludf.DUMMYFUNCTION("""COMPUTED_VALUE"""),17.62)</f>
        <v>17.62</v>
      </c>
      <c r="D273" s="1">
        <f>IFERROR(__xludf.DUMMYFUNCTION("""COMPUTED_VALUE"""),17.02)</f>
        <v>17.02</v>
      </c>
      <c r="E273" s="1">
        <f>IFERROR(__xludf.DUMMYFUNCTION("""COMPUTED_VALUE"""),17.31)</f>
        <v>17.31</v>
      </c>
      <c r="F273" s="1">
        <f>IFERROR(__xludf.DUMMYFUNCTION("""COMPUTED_VALUE"""),617551.0)</f>
        <v>617551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IFERROR(__xludf.DUMMYFUNCTION("""COMPUTED_VALUE"""),17.52)</f>
        <v>17.52</v>
      </c>
      <c r="C274" s="1">
        <f>IFERROR(__xludf.DUMMYFUNCTION("""COMPUTED_VALUE"""),18.07)</f>
        <v>18.07</v>
      </c>
      <c r="D274" s="1">
        <f>IFERROR(__xludf.DUMMYFUNCTION("""COMPUTED_VALUE"""),17.32)</f>
        <v>17.32</v>
      </c>
      <c r="E274" s="1">
        <f>IFERROR(__xludf.DUMMYFUNCTION("""COMPUTED_VALUE"""),17.91)</f>
        <v>17.91</v>
      </c>
      <c r="F274" s="1">
        <f>IFERROR(__xludf.DUMMYFUNCTION("""COMPUTED_VALUE"""),1033695.0)</f>
        <v>1033695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IFERROR(__xludf.DUMMYFUNCTION("""COMPUTED_VALUE"""),17.83)</f>
        <v>17.83</v>
      </c>
      <c r="C275" s="1">
        <f>IFERROR(__xludf.DUMMYFUNCTION("""COMPUTED_VALUE"""),18.2)</f>
        <v>18.2</v>
      </c>
      <c r="D275" s="1">
        <f>IFERROR(__xludf.DUMMYFUNCTION("""COMPUTED_VALUE"""),17.8)</f>
        <v>17.8</v>
      </c>
      <c r="E275" s="1">
        <f>IFERROR(__xludf.DUMMYFUNCTION("""COMPUTED_VALUE"""),17.97)</f>
        <v>17.97</v>
      </c>
      <c r="F275" s="1">
        <f>IFERROR(__xludf.DUMMYFUNCTION("""COMPUTED_VALUE"""),472933.0)</f>
        <v>472933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IFERROR(__xludf.DUMMYFUNCTION("""COMPUTED_VALUE"""),17.97)</f>
        <v>17.97</v>
      </c>
      <c r="C276" s="1">
        <f>IFERROR(__xludf.DUMMYFUNCTION("""COMPUTED_VALUE"""),18.24)</f>
        <v>18.24</v>
      </c>
      <c r="D276" s="1">
        <f>IFERROR(__xludf.DUMMYFUNCTION("""COMPUTED_VALUE"""),17.84)</f>
        <v>17.84</v>
      </c>
      <c r="E276" s="1">
        <f>IFERROR(__xludf.DUMMYFUNCTION("""COMPUTED_VALUE"""),18.15)</f>
        <v>18.15</v>
      </c>
      <c r="F276" s="1">
        <f>IFERROR(__xludf.DUMMYFUNCTION("""COMPUTED_VALUE"""),432266.0)</f>
        <v>432266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IFERROR(__xludf.DUMMYFUNCTION("""COMPUTED_VALUE"""),18.2)</f>
        <v>18.2</v>
      </c>
      <c r="C277" s="1">
        <f>IFERROR(__xludf.DUMMYFUNCTION("""COMPUTED_VALUE"""),18.26)</f>
        <v>18.26</v>
      </c>
      <c r="D277" s="1">
        <f>IFERROR(__xludf.DUMMYFUNCTION("""COMPUTED_VALUE"""),17.93)</f>
        <v>17.93</v>
      </c>
      <c r="E277" s="1">
        <f>IFERROR(__xludf.DUMMYFUNCTION("""COMPUTED_VALUE"""),18.07)</f>
        <v>18.07</v>
      </c>
      <c r="F277" s="1">
        <f>IFERROR(__xludf.DUMMYFUNCTION("""COMPUTED_VALUE"""),457509.0)</f>
        <v>457509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IFERROR(__xludf.DUMMYFUNCTION("""COMPUTED_VALUE"""),18.18)</f>
        <v>18.18</v>
      </c>
      <c r="C278" s="1">
        <f>IFERROR(__xludf.DUMMYFUNCTION("""COMPUTED_VALUE"""),18.82)</f>
        <v>18.82</v>
      </c>
      <c r="D278" s="1">
        <f>IFERROR(__xludf.DUMMYFUNCTION("""COMPUTED_VALUE"""),18.06)</f>
        <v>18.06</v>
      </c>
      <c r="E278" s="1">
        <f>IFERROR(__xludf.DUMMYFUNCTION("""COMPUTED_VALUE"""),18.56)</f>
        <v>18.56</v>
      </c>
      <c r="F278" s="1">
        <f>IFERROR(__xludf.DUMMYFUNCTION("""COMPUTED_VALUE"""),786554.0)</f>
        <v>786554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IFERROR(__xludf.DUMMYFUNCTION("""COMPUTED_VALUE"""),18.58)</f>
        <v>18.58</v>
      </c>
      <c r="C279" s="1">
        <f>IFERROR(__xludf.DUMMYFUNCTION("""COMPUTED_VALUE"""),18.72)</f>
        <v>18.72</v>
      </c>
      <c r="D279" s="1">
        <f>IFERROR(__xludf.DUMMYFUNCTION("""COMPUTED_VALUE"""),18.37)</f>
        <v>18.37</v>
      </c>
      <c r="E279" s="1">
        <f>IFERROR(__xludf.DUMMYFUNCTION("""COMPUTED_VALUE"""),18.62)</f>
        <v>18.62</v>
      </c>
      <c r="F279" s="1">
        <f>IFERROR(__xludf.DUMMYFUNCTION("""COMPUTED_VALUE"""),318261.0)</f>
        <v>318261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IFERROR(__xludf.DUMMYFUNCTION("""COMPUTED_VALUE"""),18.51)</f>
        <v>18.51</v>
      </c>
      <c r="C280" s="1">
        <f>IFERROR(__xludf.DUMMYFUNCTION("""COMPUTED_VALUE"""),18.66)</f>
        <v>18.66</v>
      </c>
      <c r="D280" s="1">
        <f>IFERROR(__xludf.DUMMYFUNCTION("""COMPUTED_VALUE"""),18.35)</f>
        <v>18.35</v>
      </c>
      <c r="E280" s="1">
        <f>IFERROR(__xludf.DUMMYFUNCTION("""COMPUTED_VALUE"""),18.58)</f>
        <v>18.58</v>
      </c>
      <c r="F280" s="1">
        <f>IFERROR(__xludf.DUMMYFUNCTION("""COMPUTED_VALUE"""),448557.0)</f>
        <v>448557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IFERROR(__xludf.DUMMYFUNCTION("""COMPUTED_VALUE"""),18.42)</f>
        <v>18.42</v>
      </c>
      <c r="C281" s="1">
        <f>IFERROR(__xludf.DUMMYFUNCTION("""COMPUTED_VALUE"""),18.65)</f>
        <v>18.65</v>
      </c>
      <c r="D281" s="1">
        <f>IFERROR(__xludf.DUMMYFUNCTION("""COMPUTED_VALUE"""),18.28)</f>
        <v>18.28</v>
      </c>
      <c r="E281" s="1">
        <f>IFERROR(__xludf.DUMMYFUNCTION("""COMPUTED_VALUE"""),18.49)</f>
        <v>18.49</v>
      </c>
      <c r="F281" s="1">
        <f>IFERROR(__xludf.DUMMYFUNCTION("""COMPUTED_VALUE"""),433981.0)</f>
        <v>433981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IFERROR(__xludf.DUMMYFUNCTION("""COMPUTED_VALUE"""),18.33)</f>
        <v>18.33</v>
      </c>
      <c r="C282" s="1">
        <f>IFERROR(__xludf.DUMMYFUNCTION("""COMPUTED_VALUE"""),18.88)</f>
        <v>18.88</v>
      </c>
      <c r="D282" s="1">
        <f>IFERROR(__xludf.DUMMYFUNCTION("""COMPUTED_VALUE"""),18.27)</f>
        <v>18.27</v>
      </c>
      <c r="E282" s="1">
        <f>IFERROR(__xludf.DUMMYFUNCTION("""COMPUTED_VALUE"""),18.85)</f>
        <v>18.85</v>
      </c>
      <c r="F282" s="1">
        <f>IFERROR(__xludf.DUMMYFUNCTION("""COMPUTED_VALUE"""),333961.0)</f>
        <v>333961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IFERROR(__xludf.DUMMYFUNCTION("""COMPUTED_VALUE"""),18.86)</f>
        <v>18.86</v>
      </c>
      <c r="C283" s="1">
        <f>IFERROR(__xludf.DUMMYFUNCTION("""COMPUTED_VALUE"""),18.93)</f>
        <v>18.93</v>
      </c>
      <c r="D283" s="1">
        <f>IFERROR(__xludf.DUMMYFUNCTION("""COMPUTED_VALUE"""),18.72)</f>
        <v>18.72</v>
      </c>
      <c r="E283" s="1">
        <f>IFERROR(__xludf.DUMMYFUNCTION("""COMPUTED_VALUE"""),18.87)</f>
        <v>18.87</v>
      </c>
      <c r="F283" s="1">
        <f>IFERROR(__xludf.DUMMYFUNCTION("""COMPUTED_VALUE"""),211502.0)</f>
        <v>211502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IFERROR(__xludf.DUMMYFUNCTION("""COMPUTED_VALUE"""),18.76)</f>
        <v>18.76</v>
      </c>
      <c r="C284" s="1">
        <f>IFERROR(__xludf.DUMMYFUNCTION("""COMPUTED_VALUE"""),18.98)</f>
        <v>18.98</v>
      </c>
      <c r="D284" s="1">
        <f>IFERROR(__xludf.DUMMYFUNCTION("""COMPUTED_VALUE"""),18.55)</f>
        <v>18.55</v>
      </c>
      <c r="E284" s="1">
        <f>IFERROR(__xludf.DUMMYFUNCTION("""COMPUTED_VALUE"""),18.64)</f>
        <v>18.64</v>
      </c>
      <c r="F284" s="1">
        <f>IFERROR(__xludf.DUMMYFUNCTION("""COMPUTED_VALUE"""),334618.0)</f>
        <v>334618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IFERROR(__xludf.DUMMYFUNCTION("""COMPUTED_VALUE"""),18.74)</f>
        <v>18.74</v>
      </c>
      <c r="C285" s="1">
        <f>IFERROR(__xludf.DUMMYFUNCTION("""COMPUTED_VALUE"""),18.87)</f>
        <v>18.87</v>
      </c>
      <c r="D285" s="1">
        <f>IFERROR(__xludf.DUMMYFUNCTION("""COMPUTED_VALUE"""),18.52)</f>
        <v>18.52</v>
      </c>
      <c r="E285" s="1">
        <f>IFERROR(__xludf.DUMMYFUNCTION("""COMPUTED_VALUE"""),18.64)</f>
        <v>18.64</v>
      </c>
      <c r="F285" s="1">
        <f>IFERROR(__xludf.DUMMYFUNCTION("""COMPUTED_VALUE"""),252122.0)</f>
        <v>252122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IFERROR(__xludf.DUMMYFUNCTION("""COMPUTED_VALUE"""),18.65)</f>
        <v>18.65</v>
      </c>
      <c r="C286" s="1">
        <f>IFERROR(__xludf.DUMMYFUNCTION("""COMPUTED_VALUE"""),18.65)</f>
        <v>18.65</v>
      </c>
      <c r="D286" s="1">
        <f>IFERROR(__xludf.DUMMYFUNCTION("""COMPUTED_VALUE"""),18.32)</f>
        <v>18.32</v>
      </c>
      <c r="E286" s="1">
        <f>IFERROR(__xludf.DUMMYFUNCTION("""COMPUTED_VALUE"""),18.52)</f>
        <v>18.52</v>
      </c>
      <c r="F286" s="1">
        <f>IFERROR(__xludf.DUMMYFUNCTION("""COMPUTED_VALUE"""),305361.0)</f>
        <v>305361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IFERROR(__xludf.DUMMYFUNCTION("""COMPUTED_VALUE"""),18.66)</f>
        <v>18.66</v>
      </c>
      <c r="C287" s="1">
        <f>IFERROR(__xludf.DUMMYFUNCTION("""COMPUTED_VALUE"""),18.88)</f>
        <v>18.88</v>
      </c>
      <c r="D287" s="1">
        <f>IFERROR(__xludf.DUMMYFUNCTION("""COMPUTED_VALUE"""),18.5)</f>
        <v>18.5</v>
      </c>
      <c r="E287" s="1">
        <f>IFERROR(__xludf.DUMMYFUNCTION("""COMPUTED_VALUE"""),18.79)</f>
        <v>18.79</v>
      </c>
      <c r="F287" s="1">
        <f>IFERROR(__xludf.DUMMYFUNCTION("""COMPUTED_VALUE"""),387760.0)</f>
        <v>387760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IFERROR(__xludf.DUMMYFUNCTION("""COMPUTED_VALUE"""),18.5)</f>
        <v>18.5</v>
      </c>
      <c r="C288" s="1">
        <f>IFERROR(__xludf.DUMMYFUNCTION("""COMPUTED_VALUE"""),18.78)</f>
        <v>18.78</v>
      </c>
      <c r="D288" s="1">
        <f>IFERROR(__xludf.DUMMYFUNCTION("""COMPUTED_VALUE"""),18.0)</f>
        <v>18</v>
      </c>
      <c r="E288" s="1">
        <f>IFERROR(__xludf.DUMMYFUNCTION("""COMPUTED_VALUE"""),18.02)</f>
        <v>18.02</v>
      </c>
      <c r="F288" s="1">
        <f>IFERROR(__xludf.DUMMYFUNCTION("""COMPUTED_VALUE"""),399205.0)</f>
        <v>399205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IFERROR(__xludf.DUMMYFUNCTION("""COMPUTED_VALUE"""),18.07)</f>
        <v>18.07</v>
      </c>
      <c r="C289" s="1">
        <f>IFERROR(__xludf.DUMMYFUNCTION("""COMPUTED_VALUE"""),18.31)</f>
        <v>18.31</v>
      </c>
      <c r="D289" s="1">
        <f>IFERROR(__xludf.DUMMYFUNCTION("""COMPUTED_VALUE"""),17.55)</f>
        <v>17.55</v>
      </c>
      <c r="E289" s="1">
        <f>IFERROR(__xludf.DUMMYFUNCTION("""COMPUTED_VALUE"""),17.65)</f>
        <v>17.65</v>
      </c>
      <c r="F289" s="1">
        <f>IFERROR(__xludf.DUMMYFUNCTION("""COMPUTED_VALUE"""),473437.0)</f>
        <v>473437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IFERROR(__xludf.DUMMYFUNCTION("""COMPUTED_VALUE"""),17.62)</f>
        <v>17.62</v>
      </c>
      <c r="C290" s="1">
        <f>IFERROR(__xludf.DUMMYFUNCTION("""COMPUTED_VALUE"""),17.68)</f>
        <v>17.68</v>
      </c>
      <c r="D290" s="1">
        <f>IFERROR(__xludf.DUMMYFUNCTION("""COMPUTED_VALUE"""),17.03)</f>
        <v>17.03</v>
      </c>
      <c r="E290" s="1">
        <f>IFERROR(__xludf.DUMMYFUNCTION("""COMPUTED_VALUE"""),17.26)</f>
        <v>17.26</v>
      </c>
      <c r="F290" s="1">
        <f>IFERROR(__xludf.DUMMYFUNCTION("""COMPUTED_VALUE"""),838246.0)</f>
        <v>838246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IFERROR(__xludf.DUMMYFUNCTION("""COMPUTED_VALUE"""),17.34)</f>
        <v>17.34</v>
      </c>
      <c r="C291" s="1">
        <f>IFERROR(__xludf.DUMMYFUNCTION("""COMPUTED_VALUE"""),17.83)</f>
        <v>17.83</v>
      </c>
      <c r="D291" s="1">
        <f>IFERROR(__xludf.DUMMYFUNCTION("""COMPUTED_VALUE"""),17.27)</f>
        <v>17.27</v>
      </c>
      <c r="E291" s="1">
        <f>IFERROR(__xludf.DUMMYFUNCTION("""COMPUTED_VALUE"""),17.77)</f>
        <v>17.77</v>
      </c>
      <c r="F291" s="1">
        <f>IFERROR(__xludf.DUMMYFUNCTION("""COMPUTED_VALUE"""),538467.0)</f>
        <v>538467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IFERROR(__xludf.DUMMYFUNCTION("""COMPUTED_VALUE"""),17.85)</f>
        <v>17.85</v>
      </c>
      <c r="C292" s="1">
        <f>IFERROR(__xludf.DUMMYFUNCTION("""COMPUTED_VALUE"""),18.03)</f>
        <v>18.03</v>
      </c>
      <c r="D292" s="1">
        <f>IFERROR(__xludf.DUMMYFUNCTION("""COMPUTED_VALUE"""),17.55)</f>
        <v>17.55</v>
      </c>
      <c r="E292" s="1">
        <f>IFERROR(__xludf.DUMMYFUNCTION("""COMPUTED_VALUE"""),17.72)</f>
        <v>17.72</v>
      </c>
      <c r="F292" s="1">
        <f>IFERROR(__xludf.DUMMYFUNCTION("""COMPUTED_VALUE"""),461966.0)</f>
        <v>461966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IFERROR(__xludf.DUMMYFUNCTION("""COMPUTED_VALUE"""),17.81)</f>
        <v>17.81</v>
      </c>
      <c r="C293" s="1">
        <f>IFERROR(__xludf.DUMMYFUNCTION("""COMPUTED_VALUE"""),17.81)</f>
        <v>17.81</v>
      </c>
      <c r="D293" s="1">
        <f>IFERROR(__xludf.DUMMYFUNCTION("""COMPUTED_VALUE"""),16.98)</f>
        <v>16.98</v>
      </c>
      <c r="E293" s="1">
        <f>IFERROR(__xludf.DUMMYFUNCTION("""COMPUTED_VALUE"""),17.06)</f>
        <v>17.06</v>
      </c>
      <c r="F293" s="1">
        <f>IFERROR(__xludf.DUMMYFUNCTION("""COMPUTED_VALUE"""),433896.0)</f>
        <v>433896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IFERROR(__xludf.DUMMYFUNCTION("""COMPUTED_VALUE"""),17.09)</f>
        <v>17.09</v>
      </c>
      <c r="C294" s="1">
        <f>IFERROR(__xludf.DUMMYFUNCTION("""COMPUTED_VALUE"""),17.49)</f>
        <v>17.49</v>
      </c>
      <c r="D294" s="1">
        <f>IFERROR(__xludf.DUMMYFUNCTION("""COMPUTED_VALUE"""),16.88)</f>
        <v>16.88</v>
      </c>
      <c r="E294" s="1">
        <f>IFERROR(__xludf.DUMMYFUNCTION("""COMPUTED_VALUE"""),17.43)</f>
        <v>17.43</v>
      </c>
      <c r="F294" s="1">
        <f>IFERROR(__xludf.DUMMYFUNCTION("""COMPUTED_VALUE"""),648187.0)</f>
        <v>648187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IFERROR(__xludf.DUMMYFUNCTION("""COMPUTED_VALUE"""),17.58)</f>
        <v>17.58</v>
      </c>
      <c r="C295" s="1">
        <f>IFERROR(__xludf.DUMMYFUNCTION("""COMPUTED_VALUE"""),18.36)</f>
        <v>18.36</v>
      </c>
      <c r="D295" s="1">
        <f>IFERROR(__xludf.DUMMYFUNCTION("""COMPUTED_VALUE"""),17.58)</f>
        <v>17.58</v>
      </c>
      <c r="E295" s="1">
        <f>IFERROR(__xludf.DUMMYFUNCTION("""COMPUTED_VALUE"""),17.9)</f>
        <v>17.9</v>
      </c>
      <c r="F295" s="1">
        <f>IFERROR(__xludf.DUMMYFUNCTION("""COMPUTED_VALUE"""),1046887.0)</f>
        <v>1046887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IFERROR(__xludf.DUMMYFUNCTION("""COMPUTED_VALUE"""),17.86)</f>
        <v>17.86</v>
      </c>
      <c r="C296" s="1">
        <f>IFERROR(__xludf.DUMMYFUNCTION("""COMPUTED_VALUE"""),17.97)</f>
        <v>17.97</v>
      </c>
      <c r="D296" s="1">
        <f>IFERROR(__xludf.DUMMYFUNCTION("""COMPUTED_VALUE"""),17.25)</f>
        <v>17.25</v>
      </c>
      <c r="E296" s="1">
        <f>IFERROR(__xludf.DUMMYFUNCTION("""COMPUTED_VALUE"""),17.7)</f>
        <v>17.7</v>
      </c>
      <c r="F296" s="1">
        <f>IFERROR(__xludf.DUMMYFUNCTION("""COMPUTED_VALUE"""),462386.0)</f>
        <v>462386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IFERROR(__xludf.DUMMYFUNCTION("""COMPUTED_VALUE"""),17.79)</f>
        <v>17.79</v>
      </c>
      <c r="C297" s="1">
        <f>IFERROR(__xludf.DUMMYFUNCTION("""COMPUTED_VALUE"""),17.79)</f>
        <v>17.79</v>
      </c>
      <c r="D297" s="1">
        <f>IFERROR(__xludf.DUMMYFUNCTION("""COMPUTED_VALUE"""),17.11)</f>
        <v>17.11</v>
      </c>
      <c r="E297" s="1">
        <f>IFERROR(__xludf.DUMMYFUNCTION("""COMPUTED_VALUE"""),17.36)</f>
        <v>17.36</v>
      </c>
      <c r="F297" s="1">
        <f>IFERROR(__xludf.DUMMYFUNCTION("""COMPUTED_VALUE"""),374004.0)</f>
        <v>374004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IFERROR(__xludf.DUMMYFUNCTION("""COMPUTED_VALUE"""),17.44)</f>
        <v>17.44</v>
      </c>
      <c r="C298" s="1">
        <f>IFERROR(__xludf.DUMMYFUNCTION("""COMPUTED_VALUE"""),17.84)</f>
        <v>17.84</v>
      </c>
      <c r="D298" s="1">
        <f>IFERROR(__xludf.DUMMYFUNCTION("""COMPUTED_VALUE"""),17.44)</f>
        <v>17.44</v>
      </c>
      <c r="E298" s="1">
        <f>IFERROR(__xludf.DUMMYFUNCTION("""COMPUTED_VALUE"""),17.75)</f>
        <v>17.75</v>
      </c>
      <c r="F298" s="1">
        <f>IFERROR(__xludf.DUMMYFUNCTION("""COMPUTED_VALUE"""),581684.0)</f>
        <v>581684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IFERROR(__xludf.DUMMYFUNCTION("""COMPUTED_VALUE"""),17.65)</f>
        <v>17.65</v>
      </c>
      <c r="C299" s="1">
        <f>IFERROR(__xludf.DUMMYFUNCTION("""COMPUTED_VALUE"""),17.96)</f>
        <v>17.96</v>
      </c>
      <c r="D299" s="1">
        <f>IFERROR(__xludf.DUMMYFUNCTION("""COMPUTED_VALUE"""),17.52)</f>
        <v>17.52</v>
      </c>
      <c r="E299" s="1">
        <f>IFERROR(__xludf.DUMMYFUNCTION("""COMPUTED_VALUE"""),17.77)</f>
        <v>17.77</v>
      </c>
      <c r="F299" s="1">
        <f>IFERROR(__xludf.DUMMYFUNCTION("""COMPUTED_VALUE"""),342146.0)</f>
        <v>342146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IFERROR(__xludf.DUMMYFUNCTION("""COMPUTED_VALUE"""),17.52)</f>
        <v>17.52</v>
      </c>
      <c r="C300" s="1">
        <f>IFERROR(__xludf.DUMMYFUNCTION("""COMPUTED_VALUE"""),17.53)</f>
        <v>17.53</v>
      </c>
      <c r="D300" s="1">
        <f>IFERROR(__xludf.DUMMYFUNCTION("""COMPUTED_VALUE"""),17.09)</f>
        <v>17.09</v>
      </c>
      <c r="E300" s="1">
        <f>IFERROR(__xludf.DUMMYFUNCTION("""COMPUTED_VALUE"""),17.19)</f>
        <v>17.19</v>
      </c>
      <c r="F300" s="1">
        <f>IFERROR(__xludf.DUMMYFUNCTION("""COMPUTED_VALUE"""),459270.0)</f>
        <v>459270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IFERROR(__xludf.DUMMYFUNCTION("""COMPUTED_VALUE"""),17.13)</f>
        <v>17.13</v>
      </c>
      <c r="C301" s="1">
        <f>IFERROR(__xludf.DUMMYFUNCTION("""COMPUTED_VALUE"""),17.34)</f>
        <v>17.34</v>
      </c>
      <c r="D301" s="1">
        <f>IFERROR(__xludf.DUMMYFUNCTION("""COMPUTED_VALUE"""),16.89)</f>
        <v>16.89</v>
      </c>
      <c r="E301" s="1">
        <f>IFERROR(__xludf.DUMMYFUNCTION("""COMPUTED_VALUE"""),16.91)</f>
        <v>16.91</v>
      </c>
      <c r="F301" s="1">
        <f>IFERROR(__xludf.DUMMYFUNCTION("""COMPUTED_VALUE"""),912234.0)</f>
        <v>912234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IFERROR(__xludf.DUMMYFUNCTION("""COMPUTED_VALUE"""),16.76)</f>
        <v>16.76</v>
      </c>
      <c r="C302" s="1">
        <f>IFERROR(__xludf.DUMMYFUNCTION("""COMPUTED_VALUE"""),16.86)</f>
        <v>16.86</v>
      </c>
      <c r="D302" s="1">
        <f>IFERROR(__xludf.DUMMYFUNCTION("""COMPUTED_VALUE"""),16.15)</f>
        <v>16.15</v>
      </c>
      <c r="E302" s="1">
        <f>IFERROR(__xludf.DUMMYFUNCTION("""COMPUTED_VALUE"""),16.2)</f>
        <v>16.2</v>
      </c>
      <c r="F302" s="1">
        <f>IFERROR(__xludf.DUMMYFUNCTION("""COMPUTED_VALUE"""),1140780.0)</f>
        <v>1140780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IFERROR(__xludf.DUMMYFUNCTION("""COMPUTED_VALUE"""),15.84)</f>
        <v>15.84</v>
      </c>
      <c r="C303" s="1">
        <f>IFERROR(__xludf.DUMMYFUNCTION("""COMPUTED_VALUE"""),16.25)</f>
        <v>16.25</v>
      </c>
      <c r="D303" s="1">
        <f>IFERROR(__xludf.DUMMYFUNCTION("""COMPUTED_VALUE"""),15.7)</f>
        <v>15.7</v>
      </c>
      <c r="E303" s="1">
        <f>IFERROR(__xludf.DUMMYFUNCTION("""COMPUTED_VALUE"""),16.14)</f>
        <v>16.14</v>
      </c>
      <c r="F303" s="1">
        <f>IFERROR(__xludf.DUMMYFUNCTION("""COMPUTED_VALUE"""),634796.0)</f>
        <v>634796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IFERROR(__xludf.DUMMYFUNCTION("""COMPUTED_VALUE"""),16.09)</f>
        <v>16.09</v>
      </c>
      <c r="C304" s="1">
        <f>IFERROR(__xludf.DUMMYFUNCTION("""COMPUTED_VALUE"""),16.09)</f>
        <v>16.09</v>
      </c>
      <c r="D304" s="1">
        <f>IFERROR(__xludf.DUMMYFUNCTION("""COMPUTED_VALUE"""),15.58)</f>
        <v>15.58</v>
      </c>
      <c r="E304" s="1">
        <f>IFERROR(__xludf.DUMMYFUNCTION("""COMPUTED_VALUE"""),15.63)</f>
        <v>15.63</v>
      </c>
      <c r="F304" s="1">
        <f>IFERROR(__xludf.DUMMYFUNCTION("""COMPUTED_VALUE"""),615846.0)</f>
        <v>615846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IFERROR(__xludf.DUMMYFUNCTION("""COMPUTED_VALUE"""),15.88)</f>
        <v>15.88</v>
      </c>
      <c r="C305" s="1">
        <f>IFERROR(__xludf.DUMMYFUNCTION("""COMPUTED_VALUE"""),15.98)</f>
        <v>15.98</v>
      </c>
      <c r="D305" s="1">
        <f>IFERROR(__xludf.DUMMYFUNCTION("""COMPUTED_VALUE"""),15.7)</f>
        <v>15.7</v>
      </c>
      <c r="E305" s="1">
        <f>IFERROR(__xludf.DUMMYFUNCTION("""COMPUTED_VALUE"""),15.77)</f>
        <v>15.77</v>
      </c>
      <c r="F305" s="1">
        <f>IFERROR(__xludf.DUMMYFUNCTION("""COMPUTED_VALUE"""),413547.0)</f>
        <v>413547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IFERROR(__xludf.DUMMYFUNCTION("""COMPUTED_VALUE"""),15.97)</f>
        <v>15.97</v>
      </c>
      <c r="C306" s="1">
        <f>IFERROR(__xludf.DUMMYFUNCTION("""COMPUTED_VALUE"""),16.08)</f>
        <v>16.08</v>
      </c>
      <c r="D306" s="1">
        <f>IFERROR(__xludf.DUMMYFUNCTION("""COMPUTED_VALUE"""),15.74)</f>
        <v>15.74</v>
      </c>
      <c r="E306" s="1">
        <f>IFERROR(__xludf.DUMMYFUNCTION("""COMPUTED_VALUE"""),15.9)</f>
        <v>15.9</v>
      </c>
      <c r="F306" s="1">
        <f>IFERROR(__xludf.DUMMYFUNCTION("""COMPUTED_VALUE"""),980796.0)</f>
        <v>980796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IFERROR(__xludf.DUMMYFUNCTION("""COMPUTED_VALUE"""),16.2)</f>
        <v>16.2</v>
      </c>
      <c r="C307" s="1">
        <f>IFERROR(__xludf.DUMMYFUNCTION("""COMPUTED_VALUE"""),16.52)</f>
        <v>16.52</v>
      </c>
      <c r="D307" s="1">
        <f>IFERROR(__xludf.DUMMYFUNCTION("""COMPUTED_VALUE"""),16.04)</f>
        <v>16.04</v>
      </c>
      <c r="E307" s="1">
        <f>IFERROR(__xludf.DUMMYFUNCTION("""COMPUTED_VALUE"""),16.51)</f>
        <v>16.51</v>
      </c>
      <c r="F307" s="1">
        <f>IFERROR(__xludf.DUMMYFUNCTION("""COMPUTED_VALUE"""),439950.0)</f>
        <v>439950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IFERROR(__xludf.DUMMYFUNCTION("""COMPUTED_VALUE"""),16.48)</f>
        <v>16.48</v>
      </c>
      <c r="C308" s="1">
        <f>IFERROR(__xludf.DUMMYFUNCTION("""COMPUTED_VALUE"""),16.58)</f>
        <v>16.58</v>
      </c>
      <c r="D308" s="1">
        <f>IFERROR(__xludf.DUMMYFUNCTION("""COMPUTED_VALUE"""),15.99)</f>
        <v>15.99</v>
      </c>
      <c r="E308" s="1">
        <f>IFERROR(__xludf.DUMMYFUNCTION("""COMPUTED_VALUE"""),16.06)</f>
        <v>16.06</v>
      </c>
      <c r="F308" s="1">
        <f>IFERROR(__xludf.DUMMYFUNCTION("""COMPUTED_VALUE"""),1828006.0)</f>
        <v>1828006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IFERROR(__xludf.DUMMYFUNCTION("""COMPUTED_VALUE"""),15.99)</f>
        <v>15.99</v>
      </c>
      <c r="C309" s="1">
        <f>IFERROR(__xludf.DUMMYFUNCTION("""COMPUTED_VALUE"""),16.22)</f>
        <v>16.22</v>
      </c>
      <c r="D309" s="1">
        <f>IFERROR(__xludf.DUMMYFUNCTION("""COMPUTED_VALUE"""),15.75)</f>
        <v>15.75</v>
      </c>
      <c r="E309" s="1">
        <f>IFERROR(__xludf.DUMMYFUNCTION("""COMPUTED_VALUE"""),16.15)</f>
        <v>16.15</v>
      </c>
      <c r="F309" s="1">
        <f>IFERROR(__xludf.DUMMYFUNCTION("""COMPUTED_VALUE"""),408929.0)</f>
        <v>408929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IFERROR(__xludf.DUMMYFUNCTION("""COMPUTED_VALUE"""),16.28)</f>
        <v>16.28</v>
      </c>
      <c r="C310" s="1">
        <f>IFERROR(__xludf.DUMMYFUNCTION("""COMPUTED_VALUE"""),16.5)</f>
        <v>16.5</v>
      </c>
      <c r="D310" s="1">
        <f>IFERROR(__xludf.DUMMYFUNCTION("""COMPUTED_VALUE"""),16.08)</f>
        <v>16.08</v>
      </c>
      <c r="E310" s="1">
        <f>IFERROR(__xludf.DUMMYFUNCTION("""COMPUTED_VALUE"""),16.38)</f>
        <v>16.38</v>
      </c>
      <c r="F310" s="1">
        <f>IFERROR(__xludf.DUMMYFUNCTION("""COMPUTED_VALUE"""),389248.0)</f>
        <v>389248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IFERROR(__xludf.DUMMYFUNCTION("""COMPUTED_VALUE"""),16.41)</f>
        <v>16.41</v>
      </c>
      <c r="C311" s="1">
        <f>IFERROR(__xludf.DUMMYFUNCTION("""COMPUTED_VALUE"""),16.88)</f>
        <v>16.88</v>
      </c>
      <c r="D311" s="1">
        <f>IFERROR(__xludf.DUMMYFUNCTION("""COMPUTED_VALUE"""),16.32)</f>
        <v>16.32</v>
      </c>
      <c r="E311" s="1">
        <f>IFERROR(__xludf.DUMMYFUNCTION("""COMPUTED_VALUE"""),16.67)</f>
        <v>16.67</v>
      </c>
      <c r="F311" s="1">
        <f>IFERROR(__xludf.DUMMYFUNCTION("""COMPUTED_VALUE"""),742895.0)</f>
        <v>742895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IFERROR(__xludf.DUMMYFUNCTION("""COMPUTED_VALUE"""),16.69)</f>
        <v>16.69</v>
      </c>
      <c r="C312" s="1">
        <f>IFERROR(__xludf.DUMMYFUNCTION("""COMPUTED_VALUE"""),16.69)</f>
        <v>16.69</v>
      </c>
      <c r="D312" s="1">
        <f>IFERROR(__xludf.DUMMYFUNCTION("""COMPUTED_VALUE"""),16.45)</f>
        <v>16.45</v>
      </c>
      <c r="E312" s="1">
        <f>IFERROR(__xludf.DUMMYFUNCTION("""COMPUTED_VALUE"""),16.54)</f>
        <v>16.54</v>
      </c>
      <c r="F312" s="1">
        <f>IFERROR(__xludf.DUMMYFUNCTION("""COMPUTED_VALUE"""),438236.0)</f>
        <v>438236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IFERROR(__xludf.DUMMYFUNCTION("""COMPUTED_VALUE"""),16.5)</f>
        <v>16.5</v>
      </c>
      <c r="C313" s="1">
        <f>IFERROR(__xludf.DUMMYFUNCTION("""COMPUTED_VALUE"""),16.87)</f>
        <v>16.87</v>
      </c>
      <c r="D313" s="1">
        <f>IFERROR(__xludf.DUMMYFUNCTION("""COMPUTED_VALUE"""),16.34)</f>
        <v>16.34</v>
      </c>
      <c r="E313" s="1">
        <f>IFERROR(__xludf.DUMMYFUNCTION("""COMPUTED_VALUE"""),16.82)</f>
        <v>16.82</v>
      </c>
      <c r="F313" s="1">
        <f>IFERROR(__xludf.DUMMYFUNCTION("""COMPUTED_VALUE"""),365731.0)</f>
        <v>365731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IFERROR(__xludf.DUMMYFUNCTION("""COMPUTED_VALUE"""),16.89)</f>
        <v>16.89</v>
      </c>
      <c r="C314" s="1">
        <f>IFERROR(__xludf.DUMMYFUNCTION("""COMPUTED_VALUE"""),17.1)</f>
        <v>17.1</v>
      </c>
      <c r="D314" s="1">
        <f>IFERROR(__xludf.DUMMYFUNCTION("""COMPUTED_VALUE"""),16.76)</f>
        <v>16.76</v>
      </c>
      <c r="E314" s="1">
        <f>IFERROR(__xludf.DUMMYFUNCTION("""COMPUTED_VALUE"""),17.08)</f>
        <v>17.08</v>
      </c>
      <c r="F314" s="1">
        <f>IFERROR(__xludf.DUMMYFUNCTION("""COMPUTED_VALUE"""),376034.0)</f>
        <v>376034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IFERROR(__xludf.DUMMYFUNCTION("""COMPUTED_VALUE"""),16.96)</f>
        <v>16.96</v>
      </c>
      <c r="C315" s="1">
        <f>IFERROR(__xludf.DUMMYFUNCTION("""COMPUTED_VALUE"""),17.1)</f>
        <v>17.1</v>
      </c>
      <c r="D315" s="1">
        <f>IFERROR(__xludf.DUMMYFUNCTION("""COMPUTED_VALUE"""),16.71)</f>
        <v>16.71</v>
      </c>
      <c r="E315" s="1">
        <f>IFERROR(__xludf.DUMMYFUNCTION("""COMPUTED_VALUE"""),17.05)</f>
        <v>17.05</v>
      </c>
      <c r="F315" s="1">
        <f>IFERROR(__xludf.DUMMYFUNCTION("""COMPUTED_VALUE"""),316167.0)</f>
        <v>316167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IFERROR(__xludf.DUMMYFUNCTION("""COMPUTED_VALUE"""),17.2)</f>
        <v>17.2</v>
      </c>
      <c r="C316" s="1">
        <f>IFERROR(__xludf.DUMMYFUNCTION("""COMPUTED_VALUE"""),17.54)</f>
        <v>17.54</v>
      </c>
      <c r="D316" s="1">
        <f>IFERROR(__xludf.DUMMYFUNCTION("""COMPUTED_VALUE"""),17.17)</f>
        <v>17.17</v>
      </c>
      <c r="E316" s="1">
        <f>IFERROR(__xludf.DUMMYFUNCTION("""COMPUTED_VALUE"""),17.5)</f>
        <v>17.5</v>
      </c>
      <c r="F316" s="1">
        <f>IFERROR(__xludf.DUMMYFUNCTION("""COMPUTED_VALUE"""),790241.0)</f>
        <v>790241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IFERROR(__xludf.DUMMYFUNCTION("""COMPUTED_VALUE"""),17.6)</f>
        <v>17.6</v>
      </c>
      <c r="C317" s="1">
        <f>IFERROR(__xludf.DUMMYFUNCTION("""COMPUTED_VALUE"""),17.62)</f>
        <v>17.62</v>
      </c>
      <c r="D317" s="1">
        <f>IFERROR(__xludf.DUMMYFUNCTION("""COMPUTED_VALUE"""),17.23)</f>
        <v>17.23</v>
      </c>
      <c r="E317" s="1">
        <f>IFERROR(__xludf.DUMMYFUNCTION("""COMPUTED_VALUE"""),17.3)</f>
        <v>17.3</v>
      </c>
      <c r="F317" s="1">
        <f>IFERROR(__xludf.DUMMYFUNCTION("""COMPUTED_VALUE"""),604117.0)</f>
        <v>604117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IFERROR(__xludf.DUMMYFUNCTION("""COMPUTED_VALUE"""),17.21)</f>
        <v>17.21</v>
      </c>
      <c r="C318" s="1">
        <f>IFERROR(__xludf.DUMMYFUNCTION("""COMPUTED_VALUE"""),17.37)</f>
        <v>17.37</v>
      </c>
      <c r="D318" s="1">
        <f>IFERROR(__xludf.DUMMYFUNCTION("""COMPUTED_VALUE"""),17.07)</f>
        <v>17.07</v>
      </c>
      <c r="E318" s="1">
        <f>IFERROR(__xludf.DUMMYFUNCTION("""COMPUTED_VALUE"""),17.11)</f>
        <v>17.11</v>
      </c>
      <c r="F318" s="1">
        <f>IFERROR(__xludf.DUMMYFUNCTION("""COMPUTED_VALUE"""),749112.0)</f>
        <v>749112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IFERROR(__xludf.DUMMYFUNCTION("""COMPUTED_VALUE"""),17.27)</f>
        <v>17.27</v>
      </c>
      <c r="C319" s="1">
        <f>IFERROR(__xludf.DUMMYFUNCTION("""COMPUTED_VALUE"""),17.84)</f>
        <v>17.84</v>
      </c>
      <c r="D319" s="1">
        <f>IFERROR(__xludf.DUMMYFUNCTION("""COMPUTED_VALUE"""),17.16)</f>
        <v>17.16</v>
      </c>
      <c r="E319" s="1">
        <f>IFERROR(__xludf.DUMMYFUNCTION("""COMPUTED_VALUE"""),17.78)</f>
        <v>17.78</v>
      </c>
      <c r="F319" s="1">
        <f>IFERROR(__xludf.DUMMYFUNCTION("""COMPUTED_VALUE"""),412410.0)</f>
        <v>412410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IFERROR(__xludf.DUMMYFUNCTION("""COMPUTED_VALUE"""),17.83)</f>
        <v>17.83</v>
      </c>
      <c r="C320" s="1">
        <f>IFERROR(__xludf.DUMMYFUNCTION("""COMPUTED_VALUE"""),18.16)</f>
        <v>18.16</v>
      </c>
      <c r="D320" s="1">
        <f>IFERROR(__xludf.DUMMYFUNCTION("""COMPUTED_VALUE"""),17.78)</f>
        <v>17.78</v>
      </c>
      <c r="E320" s="1">
        <f>IFERROR(__xludf.DUMMYFUNCTION("""COMPUTED_VALUE"""),17.9)</f>
        <v>17.9</v>
      </c>
      <c r="F320" s="1">
        <f>IFERROR(__xludf.DUMMYFUNCTION("""COMPUTED_VALUE"""),646724.0)</f>
        <v>646724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IFERROR(__xludf.DUMMYFUNCTION("""COMPUTED_VALUE"""),18.06)</f>
        <v>18.06</v>
      </c>
      <c r="C321" s="1">
        <f>IFERROR(__xludf.DUMMYFUNCTION("""COMPUTED_VALUE"""),18.06)</f>
        <v>18.06</v>
      </c>
      <c r="D321" s="1">
        <f>IFERROR(__xludf.DUMMYFUNCTION("""COMPUTED_VALUE"""),17.13)</f>
        <v>17.13</v>
      </c>
      <c r="E321" s="1">
        <f>IFERROR(__xludf.DUMMYFUNCTION("""COMPUTED_VALUE"""),17.19)</f>
        <v>17.19</v>
      </c>
      <c r="F321" s="1">
        <f>IFERROR(__xludf.DUMMYFUNCTION("""COMPUTED_VALUE"""),376865.0)</f>
        <v>376865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IFERROR(__xludf.DUMMYFUNCTION("""COMPUTED_VALUE"""),17.17)</f>
        <v>17.17</v>
      </c>
      <c r="C322" s="1">
        <f>IFERROR(__xludf.DUMMYFUNCTION("""COMPUTED_VALUE"""),17.43)</f>
        <v>17.43</v>
      </c>
      <c r="D322" s="1">
        <f>IFERROR(__xludf.DUMMYFUNCTION("""COMPUTED_VALUE"""),17.06)</f>
        <v>17.06</v>
      </c>
      <c r="E322" s="1">
        <f>IFERROR(__xludf.DUMMYFUNCTION("""COMPUTED_VALUE"""),17.25)</f>
        <v>17.25</v>
      </c>
      <c r="F322" s="1">
        <f>IFERROR(__xludf.DUMMYFUNCTION("""COMPUTED_VALUE"""),332098.0)</f>
        <v>332098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IFERROR(__xludf.DUMMYFUNCTION("""COMPUTED_VALUE"""),17.1)</f>
        <v>17.1</v>
      </c>
      <c r="C323" s="1">
        <f>IFERROR(__xludf.DUMMYFUNCTION("""COMPUTED_VALUE"""),17.31)</f>
        <v>17.31</v>
      </c>
      <c r="D323" s="1">
        <f>IFERROR(__xludf.DUMMYFUNCTION("""COMPUTED_VALUE"""),17.06)</f>
        <v>17.06</v>
      </c>
      <c r="E323" s="1">
        <f>IFERROR(__xludf.DUMMYFUNCTION("""COMPUTED_VALUE"""),17.08)</f>
        <v>17.08</v>
      </c>
      <c r="F323" s="1">
        <f>IFERROR(__xludf.DUMMYFUNCTION("""COMPUTED_VALUE"""),281032.0)</f>
        <v>281032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IFERROR(__xludf.DUMMYFUNCTION("""COMPUTED_VALUE"""),17.24)</f>
        <v>17.24</v>
      </c>
      <c r="C324" s="1">
        <f>IFERROR(__xludf.DUMMYFUNCTION("""COMPUTED_VALUE"""),17.28)</f>
        <v>17.28</v>
      </c>
      <c r="D324" s="1">
        <f>IFERROR(__xludf.DUMMYFUNCTION("""COMPUTED_VALUE"""),16.73)</f>
        <v>16.73</v>
      </c>
      <c r="E324" s="1">
        <f>IFERROR(__xludf.DUMMYFUNCTION("""COMPUTED_VALUE"""),16.86)</f>
        <v>16.86</v>
      </c>
      <c r="F324" s="1">
        <f>IFERROR(__xludf.DUMMYFUNCTION("""COMPUTED_VALUE"""),507006.0)</f>
        <v>507006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IFERROR(__xludf.DUMMYFUNCTION("""COMPUTED_VALUE"""),16.65)</f>
        <v>16.65</v>
      </c>
      <c r="C325" s="1">
        <f>IFERROR(__xludf.DUMMYFUNCTION("""COMPUTED_VALUE"""),16.86)</f>
        <v>16.86</v>
      </c>
      <c r="D325" s="1">
        <f>IFERROR(__xludf.DUMMYFUNCTION("""COMPUTED_VALUE"""),16.53)</f>
        <v>16.53</v>
      </c>
      <c r="E325" s="1">
        <f>IFERROR(__xludf.DUMMYFUNCTION("""COMPUTED_VALUE"""),16.82)</f>
        <v>16.82</v>
      </c>
      <c r="F325" s="1">
        <f>IFERROR(__xludf.DUMMYFUNCTION("""COMPUTED_VALUE"""),355261.0)</f>
        <v>355261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IFERROR(__xludf.DUMMYFUNCTION("""COMPUTED_VALUE"""),16.83)</f>
        <v>16.83</v>
      </c>
      <c r="C326" s="1">
        <f>IFERROR(__xludf.DUMMYFUNCTION("""COMPUTED_VALUE"""),17.15)</f>
        <v>17.15</v>
      </c>
      <c r="D326" s="1">
        <f>IFERROR(__xludf.DUMMYFUNCTION("""COMPUTED_VALUE"""),16.63)</f>
        <v>16.63</v>
      </c>
      <c r="E326" s="1">
        <f>IFERROR(__xludf.DUMMYFUNCTION("""COMPUTED_VALUE"""),17.07)</f>
        <v>17.07</v>
      </c>
      <c r="F326" s="1">
        <f>IFERROR(__xludf.DUMMYFUNCTION("""COMPUTED_VALUE"""),549344.0)</f>
        <v>549344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IFERROR(__xludf.DUMMYFUNCTION("""COMPUTED_VALUE"""),16.81)</f>
        <v>16.81</v>
      </c>
      <c r="C327" s="1">
        <f>IFERROR(__xludf.DUMMYFUNCTION("""COMPUTED_VALUE"""),16.95)</f>
        <v>16.95</v>
      </c>
      <c r="D327" s="1">
        <f>IFERROR(__xludf.DUMMYFUNCTION("""COMPUTED_VALUE"""),16.53)</f>
        <v>16.53</v>
      </c>
      <c r="E327" s="1">
        <f>IFERROR(__xludf.DUMMYFUNCTION("""COMPUTED_VALUE"""),16.77)</f>
        <v>16.77</v>
      </c>
      <c r="F327" s="1">
        <f>IFERROR(__xludf.DUMMYFUNCTION("""COMPUTED_VALUE"""),538168.0)</f>
        <v>538168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IFERROR(__xludf.DUMMYFUNCTION("""COMPUTED_VALUE"""),16.94)</f>
        <v>16.94</v>
      </c>
      <c r="C328" s="1">
        <f>IFERROR(__xludf.DUMMYFUNCTION("""COMPUTED_VALUE"""),17.0)</f>
        <v>17</v>
      </c>
      <c r="D328" s="1">
        <f>IFERROR(__xludf.DUMMYFUNCTION("""COMPUTED_VALUE"""),16.69)</f>
        <v>16.69</v>
      </c>
      <c r="E328" s="1">
        <f>IFERROR(__xludf.DUMMYFUNCTION("""COMPUTED_VALUE"""),16.96)</f>
        <v>16.96</v>
      </c>
      <c r="F328" s="1">
        <f>IFERROR(__xludf.DUMMYFUNCTION("""COMPUTED_VALUE"""),387188.0)</f>
        <v>387188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IFERROR(__xludf.DUMMYFUNCTION("""COMPUTED_VALUE"""),17.23)</f>
        <v>17.23</v>
      </c>
      <c r="C329" s="1">
        <f>IFERROR(__xludf.DUMMYFUNCTION("""COMPUTED_VALUE"""),17.29)</f>
        <v>17.29</v>
      </c>
      <c r="D329" s="1">
        <f>IFERROR(__xludf.DUMMYFUNCTION("""COMPUTED_VALUE"""),16.93)</f>
        <v>16.93</v>
      </c>
      <c r="E329" s="1">
        <f>IFERROR(__xludf.DUMMYFUNCTION("""COMPUTED_VALUE"""),17.05)</f>
        <v>17.05</v>
      </c>
      <c r="F329" s="1">
        <f>IFERROR(__xludf.DUMMYFUNCTION("""COMPUTED_VALUE"""),611994.0)</f>
        <v>611994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IFERROR(__xludf.DUMMYFUNCTION("""COMPUTED_VALUE"""),17.2)</f>
        <v>17.2</v>
      </c>
      <c r="C330" s="1">
        <f>IFERROR(__xludf.DUMMYFUNCTION("""COMPUTED_VALUE"""),17.25)</f>
        <v>17.25</v>
      </c>
      <c r="D330" s="1">
        <f>IFERROR(__xludf.DUMMYFUNCTION("""COMPUTED_VALUE"""),16.61)</f>
        <v>16.61</v>
      </c>
      <c r="E330" s="1">
        <f>IFERROR(__xludf.DUMMYFUNCTION("""COMPUTED_VALUE"""),17.08)</f>
        <v>17.08</v>
      </c>
      <c r="F330" s="1">
        <f>IFERROR(__xludf.DUMMYFUNCTION("""COMPUTED_VALUE"""),671354.0)</f>
        <v>671354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IFERROR(__xludf.DUMMYFUNCTION("""COMPUTED_VALUE"""),17.02)</f>
        <v>17.02</v>
      </c>
      <c r="C331" s="1">
        <f>IFERROR(__xludf.DUMMYFUNCTION("""COMPUTED_VALUE"""),17.14)</f>
        <v>17.14</v>
      </c>
      <c r="D331" s="1">
        <f>IFERROR(__xludf.DUMMYFUNCTION("""COMPUTED_VALUE"""),16.97)</f>
        <v>16.97</v>
      </c>
      <c r="E331" s="1">
        <f>IFERROR(__xludf.DUMMYFUNCTION("""COMPUTED_VALUE"""),17.05)</f>
        <v>17.05</v>
      </c>
      <c r="F331" s="1">
        <f>IFERROR(__xludf.DUMMYFUNCTION("""COMPUTED_VALUE"""),264812.0)</f>
        <v>264812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IFERROR(__xludf.DUMMYFUNCTION("""COMPUTED_VALUE"""),17.05)</f>
        <v>17.05</v>
      </c>
      <c r="C332" s="1">
        <f>IFERROR(__xludf.DUMMYFUNCTION("""COMPUTED_VALUE"""),17.13)</f>
        <v>17.13</v>
      </c>
      <c r="D332" s="1">
        <f>IFERROR(__xludf.DUMMYFUNCTION("""COMPUTED_VALUE"""),16.85)</f>
        <v>16.85</v>
      </c>
      <c r="E332" s="1">
        <f>IFERROR(__xludf.DUMMYFUNCTION("""COMPUTED_VALUE"""),16.91)</f>
        <v>16.91</v>
      </c>
      <c r="F332" s="1">
        <f>IFERROR(__xludf.DUMMYFUNCTION("""COMPUTED_VALUE"""),907646.0)</f>
        <v>907646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IFERROR(__xludf.DUMMYFUNCTION("""COMPUTED_VALUE"""),16.97)</f>
        <v>16.97</v>
      </c>
      <c r="C333" s="1">
        <f>IFERROR(__xludf.DUMMYFUNCTION("""COMPUTED_VALUE"""),17.15)</f>
        <v>17.15</v>
      </c>
      <c r="D333" s="1">
        <f>IFERROR(__xludf.DUMMYFUNCTION("""COMPUTED_VALUE"""),16.91)</f>
        <v>16.91</v>
      </c>
      <c r="E333" s="1">
        <f>IFERROR(__xludf.DUMMYFUNCTION("""COMPUTED_VALUE"""),17.08)</f>
        <v>17.08</v>
      </c>
      <c r="F333" s="1">
        <f>IFERROR(__xludf.DUMMYFUNCTION("""COMPUTED_VALUE"""),440893.0)</f>
        <v>440893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IFERROR(__xludf.DUMMYFUNCTION("""COMPUTED_VALUE"""),17.05)</f>
        <v>17.05</v>
      </c>
      <c r="C334" s="1">
        <f>IFERROR(__xludf.DUMMYFUNCTION("""COMPUTED_VALUE"""),17.29)</f>
        <v>17.29</v>
      </c>
      <c r="D334" s="1">
        <f>IFERROR(__xludf.DUMMYFUNCTION("""COMPUTED_VALUE"""),17.01)</f>
        <v>17.01</v>
      </c>
      <c r="E334" s="1">
        <f>IFERROR(__xludf.DUMMYFUNCTION("""COMPUTED_VALUE"""),17.19)</f>
        <v>17.19</v>
      </c>
      <c r="F334" s="1">
        <f>IFERROR(__xludf.DUMMYFUNCTION("""COMPUTED_VALUE"""),429460.0)</f>
        <v>429460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IFERROR(__xludf.DUMMYFUNCTION("""COMPUTED_VALUE"""),17.26)</f>
        <v>17.26</v>
      </c>
      <c r="C335" s="1">
        <f>IFERROR(__xludf.DUMMYFUNCTION("""COMPUTED_VALUE"""),17.34)</f>
        <v>17.34</v>
      </c>
      <c r="D335" s="1">
        <f>IFERROR(__xludf.DUMMYFUNCTION("""COMPUTED_VALUE"""),17.02)</f>
        <v>17.02</v>
      </c>
      <c r="E335" s="1">
        <f>IFERROR(__xludf.DUMMYFUNCTION("""COMPUTED_VALUE"""),17.05)</f>
        <v>17.05</v>
      </c>
      <c r="F335" s="1">
        <f>IFERROR(__xludf.DUMMYFUNCTION("""COMPUTED_VALUE"""),346791.0)</f>
        <v>346791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IFERROR(__xludf.DUMMYFUNCTION("""COMPUTED_VALUE"""),17.15)</f>
        <v>17.15</v>
      </c>
      <c r="C336" s="1">
        <f>IFERROR(__xludf.DUMMYFUNCTION("""COMPUTED_VALUE"""),17.24)</f>
        <v>17.24</v>
      </c>
      <c r="D336" s="1">
        <f>IFERROR(__xludf.DUMMYFUNCTION("""COMPUTED_VALUE"""),17.06)</f>
        <v>17.06</v>
      </c>
      <c r="E336" s="1">
        <f>IFERROR(__xludf.DUMMYFUNCTION("""COMPUTED_VALUE"""),17.17)</f>
        <v>17.17</v>
      </c>
      <c r="F336" s="1">
        <f>IFERROR(__xludf.DUMMYFUNCTION("""COMPUTED_VALUE"""),384227.0)</f>
        <v>384227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IFERROR(__xludf.DUMMYFUNCTION("""COMPUTED_VALUE"""),17.08)</f>
        <v>17.08</v>
      </c>
      <c r="C337" s="1">
        <f>IFERROR(__xludf.DUMMYFUNCTION("""COMPUTED_VALUE"""),17.4)</f>
        <v>17.4</v>
      </c>
      <c r="D337" s="1">
        <f>IFERROR(__xludf.DUMMYFUNCTION("""COMPUTED_VALUE"""),16.9)</f>
        <v>16.9</v>
      </c>
      <c r="E337" s="1">
        <f>IFERROR(__xludf.DUMMYFUNCTION("""COMPUTED_VALUE"""),17.11)</f>
        <v>17.11</v>
      </c>
      <c r="F337" s="1">
        <f>IFERROR(__xludf.DUMMYFUNCTION("""COMPUTED_VALUE"""),272791.0)</f>
        <v>272791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IFERROR(__xludf.DUMMYFUNCTION("""COMPUTED_VALUE"""),17.12)</f>
        <v>17.12</v>
      </c>
      <c r="C338" s="1">
        <f>IFERROR(__xludf.DUMMYFUNCTION("""COMPUTED_VALUE"""),17.13)</f>
        <v>17.13</v>
      </c>
      <c r="D338" s="1">
        <f>IFERROR(__xludf.DUMMYFUNCTION("""COMPUTED_VALUE"""),16.69)</f>
        <v>16.69</v>
      </c>
      <c r="E338" s="1">
        <f>IFERROR(__xludf.DUMMYFUNCTION("""COMPUTED_VALUE"""),16.77)</f>
        <v>16.77</v>
      </c>
      <c r="F338" s="1">
        <f>IFERROR(__xludf.DUMMYFUNCTION("""COMPUTED_VALUE"""),279865.0)</f>
        <v>279865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IFERROR(__xludf.DUMMYFUNCTION("""COMPUTED_VALUE"""),16.66)</f>
        <v>16.66</v>
      </c>
      <c r="C339" s="1">
        <f>IFERROR(__xludf.DUMMYFUNCTION("""COMPUTED_VALUE"""),16.87)</f>
        <v>16.87</v>
      </c>
      <c r="D339" s="1">
        <f>IFERROR(__xludf.DUMMYFUNCTION("""COMPUTED_VALUE"""),16.48)</f>
        <v>16.48</v>
      </c>
      <c r="E339" s="1">
        <f>IFERROR(__xludf.DUMMYFUNCTION("""COMPUTED_VALUE"""),16.59)</f>
        <v>16.59</v>
      </c>
      <c r="F339" s="1">
        <f>IFERROR(__xludf.DUMMYFUNCTION("""COMPUTED_VALUE"""),232061.0)</f>
        <v>232061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IFERROR(__xludf.DUMMYFUNCTION("""COMPUTED_VALUE"""),16.87)</f>
        <v>16.87</v>
      </c>
      <c r="C340" s="1">
        <f>IFERROR(__xludf.DUMMYFUNCTION("""COMPUTED_VALUE"""),16.87)</f>
        <v>16.87</v>
      </c>
      <c r="D340" s="1">
        <f>IFERROR(__xludf.DUMMYFUNCTION("""COMPUTED_VALUE"""),16.36)</f>
        <v>16.36</v>
      </c>
      <c r="E340" s="1">
        <f>IFERROR(__xludf.DUMMYFUNCTION("""COMPUTED_VALUE"""),16.41)</f>
        <v>16.41</v>
      </c>
      <c r="F340" s="1">
        <f>IFERROR(__xludf.DUMMYFUNCTION("""COMPUTED_VALUE"""),541297.0)</f>
        <v>541297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IFERROR(__xludf.DUMMYFUNCTION("""COMPUTED_VALUE"""),16.38)</f>
        <v>16.38</v>
      </c>
      <c r="C341" s="1">
        <f>IFERROR(__xludf.DUMMYFUNCTION("""COMPUTED_VALUE"""),16.41)</f>
        <v>16.41</v>
      </c>
      <c r="D341" s="1">
        <f>IFERROR(__xludf.DUMMYFUNCTION("""COMPUTED_VALUE"""),16.0)</f>
        <v>16</v>
      </c>
      <c r="E341" s="1">
        <f>IFERROR(__xludf.DUMMYFUNCTION("""COMPUTED_VALUE"""),16.41)</f>
        <v>16.41</v>
      </c>
      <c r="F341" s="1">
        <f>IFERROR(__xludf.DUMMYFUNCTION("""COMPUTED_VALUE"""),580439.0)</f>
        <v>580439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IFERROR(__xludf.DUMMYFUNCTION("""COMPUTED_VALUE"""),16.51)</f>
        <v>16.51</v>
      </c>
      <c r="C342" s="1">
        <f>IFERROR(__xludf.DUMMYFUNCTION("""COMPUTED_VALUE"""),16.62)</f>
        <v>16.62</v>
      </c>
      <c r="D342" s="1">
        <f>IFERROR(__xludf.DUMMYFUNCTION("""COMPUTED_VALUE"""),16.16)</f>
        <v>16.16</v>
      </c>
      <c r="E342" s="1">
        <f>IFERROR(__xludf.DUMMYFUNCTION("""COMPUTED_VALUE"""),16.21)</f>
        <v>16.21</v>
      </c>
      <c r="F342" s="1">
        <f>IFERROR(__xludf.DUMMYFUNCTION("""COMPUTED_VALUE"""),934452.0)</f>
        <v>934452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IFERROR(__xludf.DUMMYFUNCTION("""COMPUTED_VALUE"""),16.23)</f>
        <v>16.23</v>
      </c>
      <c r="C343" s="1">
        <f>IFERROR(__xludf.DUMMYFUNCTION("""COMPUTED_VALUE"""),16.29)</f>
        <v>16.29</v>
      </c>
      <c r="D343" s="1">
        <f>IFERROR(__xludf.DUMMYFUNCTION("""COMPUTED_VALUE"""),15.96)</f>
        <v>15.96</v>
      </c>
      <c r="E343" s="1">
        <f>IFERROR(__xludf.DUMMYFUNCTION("""COMPUTED_VALUE"""),15.97)</f>
        <v>15.97</v>
      </c>
      <c r="F343" s="1">
        <f>IFERROR(__xludf.DUMMYFUNCTION("""COMPUTED_VALUE"""),465787.0)</f>
        <v>465787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IFERROR(__xludf.DUMMYFUNCTION("""COMPUTED_VALUE"""),15.91)</f>
        <v>15.91</v>
      </c>
      <c r="C344" s="1">
        <f>IFERROR(__xludf.DUMMYFUNCTION("""COMPUTED_VALUE"""),16.05)</f>
        <v>16.05</v>
      </c>
      <c r="D344" s="1">
        <f>IFERROR(__xludf.DUMMYFUNCTION("""COMPUTED_VALUE"""),15.78)</f>
        <v>15.78</v>
      </c>
      <c r="E344" s="1">
        <f>IFERROR(__xludf.DUMMYFUNCTION("""COMPUTED_VALUE"""),15.91)</f>
        <v>15.91</v>
      </c>
      <c r="F344" s="1">
        <f>IFERROR(__xludf.DUMMYFUNCTION("""COMPUTED_VALUE"""),407479.0)</f>
        <v>407479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IFERROR(__xludf.DUMMYFUNCTION("""COMPUTED_VALUE"""),15.96)</f>
        <v>15.96</v>
      </c>
      <c r="C345" s="1">
        <f>IFERROR(__xludf.DUMMYFUNCTION("""COMPUTED_VALUE"""),16.01)</f>
        <v>16.01</v>
      </c>
      <c r="D345" s="1">
        <f>IFERROR(__xludf.DUMMYFUNCTION("""COMPUTED_VALUE"""),15.71)</f>
        <v>15.71</v>
      </c>
      <c r="E345" s="1">
        <f>IFERROR(__xludf.DUMMYFUNCTION("""COMPUTED_VALUE"""),15.74)</f>
        <v>15.74</v>
      </c>
      <c r="F345" s="1">
        <f>IFERROR(__xludf.DUMMYFUNCTION("""COMPUTED_VALUE"""),344786.0)</f>
        <v>344786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IFERROR(__xludf.DUMMYFUNCTION("""COMPUTED_VALUE"""),15.68)</f>
        <v>15.68</v>
      </c>
      <c r="C346" s="1">
        <f>IFERROR(__xludf.DUMMYFUNCTION("""COMPUTED_VALUE"""),15.85)</f>
        <v>15.85</v>
      </c>
      <c r="D346" s="1">
        <f>IFERROR(__xludf.DUMMYFUNCTION("""COMPUTED_VALUE"""),15.5)</f>
        <v>15.5</v>
      </c>
      <c r="E346" s="1">
        <f>IFERROR(__xludf.DUMMYFUNCTION("""COMPUTED_VALUE"""),15.52)</f>
        <v>15.52</v>
      </c>
      <c r="F346" s="1">
        <f>IFERROR(__xludf.DUMMYFUNCTION("""COMPUTED_VALUE"""),350568.0)</f>
        <v>350568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IFERROR(__xludf.DUMMYFUNCTION("""COMPUTED_VALUE"""),15.45)</f>
        <v>15.45</v>
      </c>
      <c r="C347" s="1">
        <f>IFERROR(__xludf.DUMMYFUNCTION("""COMPUTED_VALUE"""),15.69)</f>
        <v>15.69</v>
      </c>
      <c r="D347" s="1">
        <f>IFERROR(__xludf.DUMMYFUNCTION("""COMPUTED_VALUE"""),15.4)</f>
        <v>15.4</v>
      </c>
      <c r="E347" s="1">
        <f>IFERROR(__xludf.DUMMYFUNCTION("""COMPUTED_VALUE"""),15.61)</f>
        <v>15.61</v>
      </c>
      <c r="F347" s="1">
        <f>IFERROR(__xludf.DUMMYFUNCTION("""COMPUTED_VALUE"""),340985.0)</f>
        <v>340985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IFERROR(__xludf.DUMMYFUNCTION("""COMPUTED_VALUE"""),15.65)</f>
        <v>15.65</v>
      </c>
      <c r="C348" s="1">
        <f>IFERROR(__xludf.DUMMYFUNCTION("""COMPUTED_VALUE"""),15.68)</f>
        <v>15.68</v>
      </c>
      <c r="D348" s="1">
        <f>IFERROR(__xludf.DUMMYFUNCTION("""COMPUTED_VALUE"""),15.41)</f>
        <v>15.41</v>
      </c>
      <c r="E348" s="1">
        <f>IFERROR(__xludf.DUMMYFUNCTION("""COMPUTED_VALUE"""),15.68)</f>
        <v>15.68</v>
      </c>
      <c r="F348" s="1">
        <f>IFERROR(__xludf.DUMMYFUNCTION("""COMPUTED_VALUE"""),513977.0)</f>
        <v>513977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IFERROR(__xludf.DUMMYFUNCTION("""COMPUTED_VALUE"""),15.83)</f>
        <v>15.83</v>
      </c>
      <c r="C349" s="1">
        <f>IFERROR(__xludf.DUMMYFUNCTION("""COMPUTED_VALUE"""),15.97)</f>
        <v>15.97</v>
      </c>
      <c r="D349" s="1">
        <f>IFERROR(__xludf.DUMMYFUNCTION("""COMPUTED_VALUE"""),15.64)</f>
        <v>15.64</v>
      </c>
      <c r="E349" s="1">
        <f>IFERROR(__xludf.DUMMYFUNCTION("""COMPUTED_VALUE"""),15.9)</f>
        <v>15.9</v>
      </c>
      <c r="F349" s="1">
        <f>IFERROR(__xludf.DUMMYFUNCTION("""COMPUTED_VALUE"""),313373.0)</f>
        <v>313373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IFERROR(__xludf.DUMMYFUNCTION("""COMPUTED_VALUE"""),15.77)</f>
        <v>15.77</v>
      </c>
      <c r="C350" s="1">
        <f>IFERROR(__xludf.DUMMYFUNCTION("""COMPUTED_VALUE"""),16.01)</f>
        <v>16.01</v>
      </c>
      <c r="D350" s="1">
        <f>IFERROR(__xludf.DUMMYFUNCTION("""COMPUTED_VALUE"""),15.65)</f>
        <v>15.65</v>
      </c>
      <c r="E350" s="1">
        <f>IFERROR(__xludf.DUMMYFUNCTION("""COMPUTED_VALUE"""),15.66)</f>
        <v>15.66</v>
      </c>
      <c r="F350" s="1">
        <f>IFERROR(__xludf.DUMMYFUNCTION("""COMPUTED_VALUE"""),518125.0)</f>
        <v>518125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IFERROR(__xludf.DUMMYFUNCTION("""COMPUTED_VALUE"""),15.5)</f>
        <v>15.5</v>
      </c>
      <c r="C351" s="1">
        <f>IFERROR(__xludf.DUMMYFUNCTION("""COMPUTED_VALUE"""),15.86)</f>
        <v>15.86</v>
      </c>
      <c r="D351" s="1">
        <f>IFERROR(__xludf.DUMMYFUNCTION("""COMPUTED_VALUE"""),15.5)</f>
        <v>15.5</v>
      </c>
      <c r="E351" s="1">
        <f>IFERROR(__xludf.DUMMYFUNCTION("""COMPUTED_VALUE"""),15.65)</f>
        <v>15.65</v>
      </c>
      <c r="F351" s="1">
        <f>IFERROR(__xludf.DUMMYFUNCTION("""COMPUTED_VALUE"""),469651.0)</f>
        <v>469651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IFERROR(__xludf.DUMMYFUNCTION("""COMPUTED_VALUE"""),15.7)</f>
        <v>15.7</v>
      </c>
      <c r="C352" s="1">
        <f>IFERROR(__xludf.DUMMYFUNCTION("""COMPUTED_VALUE"""),15.74)</f>
        <v>15.74</v>
      </c>
      <c r="D352" s="1">
        <f>IFERROR(__xludf.DUMMYFUNCTION("""COMPUTED_VALUE"""),15.43)</f>
        <v>15.43</v>
      </c>
      <c r="E352" s="1">
        <f>IFERROR(__xludf.DUMMYFUNCTION("""COMPUTED_VALUE"""),15.56)</f>
        <v>15.56</v>
      </c>
      <c r="F352" s="1">
        <f>IFERROR(__xludf.DUMMYFUNCTION("""COMPUTED_VALUE"""),497961.0)</f>
        <v>497961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IFERROR(__xludf.DUMMYFUNCTION("""COMPUTED_VALUE"""),15.47)</f>
        <v>15.47</v>
      </c>
      <c r="C353" s="1">
        <f>IFERROR(__xludf.DUMMYFUNCTION("""COMPUTED_VALUE"""),15.79)</f>
        <v>15.79</v>
      </c>
      <c r="D353" s="1">
        <f>IFERROR(__xludf.DUMMYFUNCTION("""COMPUTED_VALUE"""),15.47)</f>
        <v>15.47</v>
      </c>
      <c r="E353" s="1">
        <f>IFERROR(__xludf.DUMMYFUNCTION("""COMPUTED_VALUE"""),15.61)</f>
        <v>15.61</v>
      </c>
      <c r="F353" s="1">
        <f>IFERROR(__xludf.DUMMYFUNCTION("""COMPUTED_VALUE"""),247723.0)</f>
        <v>247723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IFERROR(__xludf.DUMMYFUNCTION("""COMPUTED_VALUE"""),15.51)</f>
        <v>15.51</v>
      </c>
      <c r="C354" s="1">
        <f>IFERROR(__xludf.DUMMYFUNCTION("""COMPUTED_VALUE"""),15.76)</f>
        <v>15.76</v>
      </c>
      <c r="D354" s="1">
        <f>IFERROR(__xludf.DUMMYFUNCTION("""COMPUTED_VALUE"""),15.5)</f>
        <v>15.5</v>
      </c>
      <c r="E354" s="1">
        <f>IFERROR(__xludf.DUMMYFUNCTION("""COMPUTED_VALUE"""),15.69)</f>
        <v>15.69</v>
      </c>
      <c r="F354" s="1">
        <f>IFERROR(__xludf.DUMMYFUNCTION("""COMPUTED_VALUE"""),289415.0)</f>
        <v>289415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IFERROR(__xludf.DUMMYFUNCTION("""COMPUTED_VALUE"""),15.74)</f>
        <v>15.74</v>
      </c>
      <c r="C355" s="1">
        <f>IFERROR(__xludf.DUMMYFUNCTION("""COMPUTED_VALUE"""),15.83)</f>
        <v>15.83</v>
      </c>
      <c r="D355" s="1">
        <f>IFERROR(__xludf.DUMMYFUNCTION("""COMPUTED_VALUE"""),15.65)</f>
        <v>15.65</v>
      </c>
      <c r="E355" s="1">
        <f>IFERROR(__xludf.DUMMYFUNCTION("""COMPUTED_VALUE"""),15.79)</f>
        <v>15.79</v>
      </c>
      <c r="F355" s="1">
        <f>IFERROR(__xludf.DUMMYFUNCTION("""COMPUTED_VALUE"""),201928.0)</f>
        <v>201928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IFERROR(__xludf.DUMMYFUNCTION("""COMPUTED_VALUE"""),16.0)</f>
        <v>16</v>
      </c>
      <c r="C356" s="1">
        <f>IFERROR(__xludf.DUMMYFUNCTION("""COMPUTED_VALUE"""),16.32)</f>
        <v>16.32</v>
      </c>
      <c r="D356" s="1">
        <f>IFERROR(__xludf.DUMMYFUNCTION("""COMPUTED_VALUE"""),15.86)</f>
        <v>15.86</v>
      </c>
      <c r="E356" s="1">
        <f>IFERROR(__xludf.DUMMYFUNCTION("""COMPUTED_VALUE"""),16.3)</f>
        <v>16.3</v>
      </c>
      <c r="F356" s="1">
        <f>IFERROR(__xludf.DUMMYFUNCTION("""COMPUTED_VALUE"""),554962.0)</f>
        <v>554962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IFERROR(__xludf.DUMMYFUNCTION("""COMPUTED_VALUE"""),16.18)</f>
        <v>16.18</v>
      </c>
      <c r="C357" s="1">
        <f>IFERROR(__xludf.DUMMYFUNCTION("""COMPUTED_VALUE"""),16.32)</f>
        <v>16.32</v>
      </c>
      <c r="D357" s="1">
        <f>IFERROR(__xludf.DUMMYFUNCTION("""COMPUTED_VALUE"""),15.54)</f>
        <v>15.54</v>
      </c>
      <c r="E357" s="1">
        <f>IFERROR(__xludf.DUMMYFUNCTION("""COMPUTED_VALUE"""),15.56)</f>
        <v>15.56</v>
      </c>
      <c r="F357" s="1">
        <f>IFERROR(__xludf.DUMMYFUNCTION("""COMPUTED_VALUE"""),763136.0)</f>
        <v>763136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IFERROR(__xludf.DUMMYFUNCTION("""COMPUTED_VALUE"""),15.55)</f>
        <v>15.55</v>
      </c>
      <c r="C358" s="1">
        <f>IFERROR(__xludf.DUMMYFUNCTION("""COMPUTED_VALUE"""),15.76)</f>
        <v>15.76</v>
      </c>
      <c r="D358" s="1">
        <f>IFERROR(__xludf.DUMMYFUNCTION("""COMPUTED_VALUE"""),15.46)</f>
        <v>15.46</v>
      </c>
      <c r="E358" s="1">
        <f>IFERROR(__xludf.DUMMYFUNCTION("""COMPUTED_VALUE"""),15.58)</f>
        <v>15.58</v>
      </c>
      <c r="F358" s="1">
        <f>IFERROR(__xludf.DUMMYFUNCTION("""COMPUTED_VALUE"""),272100.0)</f>
        <v>272100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IFERROR(__xludf.DUMMYFUNCTION("""COMPUTED_VALUE"""),15.4)</f>
        <v>15.4</v>
      </c>
      <c r="C359" s="1">
        <f>IFERROR(__xludf.DUMMYFUNCTION("""COMPUTED_VALUE"""),15.52)</f>
        <v>15.52</v>
      </c>
      <c r="D359" s="1">
        <f>IFERROR(__xludf.DUMMYFUNCTION("""COMPUTED_VALUE"""),15.22)</f>
        <v>15.22</v>
      </c>
      <c r="E359" s="1">
        <f>IFERROR(__xludf.DUMMYFUNCTION("""COMPUTED_VALUE"""),15.25)</f>
        <v>15.25</v>
      </c>
      <c r="F359" s="1">
        <f>IFERROR(__xludf.DUMMYFUNCTION("""COMPUTED_VALUE"""),387050.0)</f>
        <v>387050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IFERROR(__xludf.DUMMYFUNCTION("""COMPUTED_VALUE"""),15.25)</f>
        <v>15.25</v>
      </c>
      <c r="C360" s="1">
        <f>IFERROR(__xludf.DUMMYFUNCTION("""COMPUTED_VALUE"""),15.45)</f>
        <v>15.45</v>
      </c>
      <c r="D360" s="1">
        <f>IFERROR(__xludf.DUMMYFUNCTION("""COMPUTED_VALUE"""),15.18)</f>
        <v>15.18</v>
      </c>
      <c r="E360" s="1">
        <f>IFERROR(__xludf.DUMMYFUNCTION("""COMPUTED_VALUE"""),15.19)</f>
        <v>15.19</v>
      </c>
      <c r="F360" s="1">
        <f>IFERROR(__xludf.DUMMYFUNCTION("""COMPUTED_VALUE"""),377404.0)</f>
        <v>377404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IFERROR(__xludf.DUMMYFUNCTION("""COMPUTED_VALUE"""),15.37)</f>
        <v>15.37</v>
      </c>
      <c r="C361" s="1">
        <f>IFERROR(__xludf.DUMMYFUNCTION("""COMPUTED_VALUE"""),15.37)</f>
        <v>15.37</v>
      </c>
      <c r="D361" s="1">
        <f>IFERROR(__xludf.DUMMYFUNCTION("""COMPUTED_VALUE"""),15.15)</f>
        <v>15.15</v>
      </c>
      <c r="E361" s="1">
        <f>IFERROR(__xludf.DUMMYFUNCTION("""COMPUTED_VALUE"""),15.15)</f>
        <v>15.15</v>
      </c>
      <c r="F361" s="1">
        <f>IFERROR(__xludf.DUMMYFUNCTION("""COMPUTED_VALUE"""),336467.0)</f>
        <v>336467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IFERROR(__xludf.DUMMYFUNCTION("""COMPUTED_VALUE"""),15.1)</f>
        <v>15.1</v>
      </c>
      <c r="C362" s="1">
        <f>IFERROR(__xludf.DUMMYFUNCTION("""COMPUTED_VALUE"""),15.21)</f>
        <v>15.21</v>
      </c>
      <c r="D362" s="1">
        <f>IFERROR(__xludf.DUMMYFUNCTION("""COMPUTED_VALUE"""),15.0)</f>
        <v>15</v>
      </c>
      <c r="E362" s="1">
        <f>IFERROR(__xludf.DUMMYFUNCTION("""COMPUTED_VALUE"""),15.03)</f>
        <v>15.03</v>
      </c>
      <c r="F362" s="1">
        <f>IFERROR(__xludf.DUMMYFUNCTION("""COMPUTED_VALUE"""),481152.0)</f>
        <v>481152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IFERROR(__xludf.DUMMYFUNCTION("""COMPUTED_VALUE"""),15.05)</f>
        <v>15.05</v>
      </c>
      <c r="C363" s="1">
        <f>IFERROR(__xludf.DUMMYFUNCTION("""COMPUTED_VALUE"""),15.22)</f>
        <v>15.22</v>
      </c>
      <c r="D363" s="1">
        <f>IFERROR(__xludf.DUMMYFUNCTION("""COMPUTED_VALUE"""),14.89)</f>
        <v>14.89</v>
      </c>
      <c r="E363" s="1">
        <f>IFERROR(__xludf.DUMMYFUNCTION("""COMPUTED_VALUE"""),15.1)</f>
        <v>15.1</v>
      </c>
      <c r="F363" s="1">
        <f>IFERROR(__xludf.DUMMYFUNCTION("""COMPUTED_VALUE"""),420281.0)</f>
        <v>420281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IFERROR(__xludf.DUMMYFUNCTION("""COMPUTED_VALUE"""),14.94)</f>
        <v>14.94</v>
      </c>
      <c r="C364" s="1">
        <f>IFERROR(__xludf.DUMMYFUNCTION("""COMPUTED_VALUE"""),15.26)</f>
        <v>15.26</v>
      </c>
      <c r="D364" s="1">
        <f>IFERROR(__xludf.DUMMYFUNCTION("""COMPUTED_VALUE"""),14.8)</f>
        <v>14.8</v>
      </c>
      <c r="E364" s="1">
        <f>IFERROR(__xludf.DUMMYFUNCTION("""COMPUTED_VALUE"""),15.13)</f>
        <v>15.13</v>
      </c>
      <c r="F364" s="1">
        <f>IFERROR(__xludf.DUMMYFUNCTION("""COMPUTED_VALUE"""),768595.0)</f>
        <v>768595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IFERROR(__xludf.DUMMYFUNCTION("""COMPUTED_VALUE"""),15.14)</f>
        <v>15.14</v>
      </c>
      <c r="C365" s="1">
        <f>IFERROR(__xludf.DUMMYFUNCTION("""COMPUTED_VALUE"""),15.24)</f>
        <v>15.24</v>
      </c>
      <c r="D365" s="1">
        <f>IFERROR(__xludf.DUMMYFUNCTION("""COMPUTED_VALUE"""),14.88)</f>
        <v>14.88</v>
      </c>
      <c r="E365" s="1">
        <f>IFERROR(__xludf.DUMMYFUNCTION("""COMPUTED_VALUE"""),14.97)</f>
        <v>14.97</v>
      </c>
      <c r="F365" s="1">
        <f>IFERROR(__xludf.DUMMYFUNCTION("""COMPUTED_VALUE"""),347748.0)</f>
        <v>347748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IFERROR(__xludf.DUMMYFUNCTION("""COMPUTED_VALUE"""),15.16)</f>
        <v>15.16</v>
      </c>
      <c r="C366" s="1">
        <f>IFERROR(__xludf.DUMMYFUNCTION("""COMPUTED_VALUE"""),15.48)</f>
        <v>15.48</v>
      </c>
      <c r="D366" s="1">
        <f>IFERROR(__xludf.DUMMYFUNCTION("""COMPUTED_VALUE"""),15.0)</f>
        <v>15</v>
      </c>
      <c r="E366" s="1">
        <f>IFERROR(__xludf.DUMMYFUNCTION("""COMPUTED_VALUE"""),15.25)</f>
        <v>15.25</v>
      </c>
      <c r="F366" s="1">
        <f>IFERROR(__xludf.DUMMYFUNCTION("""COMPUTED_VALUE"""),336249.0)</f>
        <v>336249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IFERROR(__xludf.DUMMYFUNCTION("""COMPUTED_VALUE"""),15.07)</f>
        <v>15.07</v>
      </c>
      <c r="C367" s="1">
        <f>IFERROR(__xludf.DUMMYFUNCTION("""COMPUTED_VALUE"""),15.13)</f>
        <v>15.13</v>
      </c>
      <c r="D367" s="1">
        <f>IFERROR(__xludf.DUMMYFUNCTION("""COMPUTED_VALUE"""),14.76)</f>
        <v>14.76</v>
      </c>
      <c r="E367" s="1">
        <f>IFERROR(__xludf.DUMMYFUNCTION("""COMPUTED_VALUE"""),14.81)</f>
        <v>14.81</v>
      </c>
      <c r="F367" s="1">
        <f>IFERROR(__xludf.DUMMYFUNCTION("""COMPUTED_VALUE"""),426589.0)</f>
        <v>426589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IFERROR(__xludf.DUMMYFUNCTION("""COMPUTED_VALUE"""),14.85)</f>
        <v>14.85</v>
      </c>
      <c r="C368" s="1">
        <f>IFERROR(__xludf.DUMMYFUNCTION("""COMPUTED_VALUE"""),15.44)</f>
        <v>15.44</v>
      </c>
      <c r="D368" s="1">
        <f>IFERROR(__xludf.DUMMYFUNCTION("""COMPUTED_VALUE"""),14.85)</f>
        <v>14.85</v>
      </c>
      <c r="E368" s="1">
        <f>IFERROR(__xludf.DUMMYFUNCTION("""COMPUTED_VALUE"""),15.24)</f>
        <v>15.24</v>
      </c>
      <c r="F368" s="1">
        <f>IFERROR(__xludf.DUMMYFUNCTION("""COMPUTED_VALUE"""),426382.0)</f>
        <v>426382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IFERROR(__xludf.DUMMYFUNCTION("""COMPUTED_VALUE"""),15.36)</f>
        <v>15.36</v>
      </c>
      <c r="C369" s="1">
        <f>IFERROR(__xludf.DUMMYFUNCTION("""COMPUTED_VALUE"""),15.92)</f>
        <v>15.92</v>
      </c>
      <c r="D369" s="1">
        <f>IFERROR(__xludf.DUMMYFUNCTION("""COMPUTED_VALUE"""),15.24)</f>
        <v>15.24</v>
      </c>
      <c r="E369" s="1">
        <f>IFERROR(__xludf.DUMMYFUNCTION("""COMPUTED_VALUE"""),15.68)</f>
        <v>15.68</v>
      </c>
      <c r="F369" s="1">
        <f>IFERROR(__xludf.DUMMYFUNCTION("""COMPUTED_VALUE"""),935391.0)</f>
        <v>935391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IFERROR(__xludf.DUMMYFUNCTION("""COMPUTED_VALUE"""),15.61)</f>
        <v>15.61</v>
      </c>
      <c r="C370" s="1">
        <f>IFERROR(__xludf.DUMMYFUNCTION("""COMPUTED_VALUE"""),16.08)</f>
        <v>16.08</v>
      </c>
      <c r="D370" s="1">
        <f>IFERROR(__xludf.DUMMYFUNCTION("""COMPUTED_VALUE"""),15.57)</f>
        <v>15.57</v>
      </c>
      <c r="E370" s="1">
        <f>IFERROR(__xludf.DUMMYFUNCTION("""COMPUTED_VALUE"""),15.76)</f>
        <v>15.76</v>
      </c>
      <c r="F370" s="1">
        <f>IFERROR(__xludf.DUMMYFUNCTION("""COMPUTED_VALUE"""),248144.0)</f>
        <v>248144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IFERROR(__xludf.DUMMYFUNCTION("""COMPUTED_VALUE"""),15.92)</f>
        <v>15.92</v>
      </c>
      <c r="C371" s="1">
        <f>IFERROR(__xludf.DUMMYFUNCTION("""COMPUTED_VALUE"""),16.04)</f>
        <v>16.04</v>
      </c>
      <c r="D371" s="1">
        <f>IFERROR(__xludf.DUMMYFUNCTION("""COMPUTED_VALUE"""),15.81)</f>
        <v>15.81</v>
      </c>
      <c r="E371" s="1">
        <f>IFERROR(__xludf.DUMMYFUNCTION("""COMPUTED_VALUE"""),15.96)</f>
        <v>15.96</v>
      </c>
      <c r="F371" s="1">
        <f>IFERROR(__xludf.DUMMYFUNCTION("""COMPUTED_VALUE"""),319798.0)</f>
        <v>319798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IFERROR(__xludf.DUMMYFUNCTION("""COMPUTED_VALUE"""),15.84)</f>
        <v>15.84</v>
      </c>
      <c r="C372" s="1">
        <f>IFERROR(__xludf.DUMMYFUNCTION("""COMPUTED_VALUE"""),16.07)</f>
        <v>16.07</v>
      </c>
      <c r="D372" s="1">
        <f>IFERROR(__xludf.DUMMYFUNCTION("""COMPUTED_VALUE"""),15.61)</f>
        <v>15.61</v>
      </c>
      <c r="E372" s="1">
        <f>IFERROR(__xludf.DUMMYFUNCTION("""COMPUTED_VALUE"""),15.61)</f>
        <v>15.61</v>
      </c>
      <c r="F372" s="1">
        <f>IFERROR(__xludf.DUMMYFUNCTION("""COMPUTED_VALUE"""),384325.0)</f>
        <v>384325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IFERROR(__xludf.DUMMYFUNCTION("""COMPUTED_VALUE"""),15.38)</f>
        <v>15.38</v>
      </c>
      <c r="C373" s="1">
        <f>IFERROR(__xludf.DUMMYFUNCTION("""COMPUTED_VALUE"""),15.65)</f>
        <v>15.65</v>
      </c>
      <c r="D373" s="1">
        <f>IFERROR(__xludf.DUMMYFUNCTION("""COMPUTED_VALUE"""),15.15)</f>
        <v>15.15</v>
      </c>
      <c r="E373" s="1">
        <f>IFERROR(__xludf.DUMMYFUNCTION("""COMPUTED_VALUE"""),15.53)</f>
        <v>15.53</v>
      </c>
      <c r="F373" s="1">
        <f>IFERROR(__xludf.DUMMYFUNCTION("""COMPUTED_VALUE"""),389734.0)</f>
        <v>389734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IFERROR(__xludf.DUMMYFUNCTION("""COMPUTED_VALUE"""),15.58)</f>
        <v>15.58</v>
      </c>
      <c r="C374" s="1">
        <f>IFERROR(__xludf.DUMMYFUNCTION("""COMPUTED_VALUE"""),15.8)</f>
        <v>15.8</v>
      </c>
      <c r="D374" s="1">
        <f>IFERROR(__xludf.DUMMYFUNCTION("""COMPUTED_VALUE"""),15.27)</f>
        <v>15.27</v>
      </c>
      <c r="E374" s="1">
        <f>IFERROR(__xludf.DUMMYFUNCTION("""COMPUTED_VALUE"""),15.77)</f>
        <v>15.77</v>
      </c>
      <c r="F374" s="1">
        <f>IFERROR(__xludf.DUMMYFUNCTION("""COMPUTED_VALUE"""),674027.0)</f>
        <v>674027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IFERROR(__xludf.DUMMYFUNCTION("""COMPUTED_VALUE"""),15.78)</f>
        <v>15.78</v>
      </c>
      <c r="C375" s="1">
        <f>IFERROR(__xludf.DUMMYFUNCTION("""COMPUTED_VALUE"""),16.18)</f>
        <v>16.18</v>
      </c>
      <c r="D375" s="1">
        <f>IFERROR(__xludf.DUMMYFUNCTION("""COMPUTED_VALUE"""),15.74)</f>
        <v>15.74</v>
      </c>
      <c r="E375" s="1">
        <f>IFERROR(__xludf.DUMMYFUNCTION("""COMPUTED_VALUE"""),16.09)</f>
        <v>16.09</v>
      </c>
      <c r="F375" s="1">
        <f>IFERROR(__xludf.DUMMYFUNCTION("""COMPUTED_VALUE"""),361492.0)</f>
        <v>361492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IFERROR(__xludf.DUMMYFUNCTION("""COMPUTED_VALUE"""),16.13)</f>
        <v>16.13</v>
      </c>
      <c r="C376" s="1">
        <f>IFERROR(__xludf.DUMMYFUNCTION("""COMPUTED_VALUE"""),16.32)</f>
        <v>16.32</v>
      </c>
      <c r="D376" s="1">
        <f>IFERROR(__xludf.DUMMYFUNCTION("""COMPUTED_VALUE"""),15.87)</f>
        <v>15.87</v>
      </c>
      <c r="E376" s="1">
        <f>IFERROR(__xludf.DUMMYFUNCTION("""COMPUTED_VALUE"""),16.18)</f>
        <v>16.18</v>
      </c>
      <c r="F376" s="1">
        <f>IFERROR(__xludf.DUMMYFUNCTION("""COMPUTED_VALUE"""),316541.0)</f>
        <v>316541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IFERROR(__xludf.DUMMYFUNCTION("""COMPUTED_VALUE"""),16.31)</f>
        <v>16.31</v>
      </c>
      <c r="C377" s="1">
        <f>IFERROR(__xludf.DUMMYFUNCTION("""COMPUTED_VALUE"""),16.43)</f>
        <v>16.43</v>
      </c>
      <c r="D377" s="1">
        <f>IFERROR(__xludf.DUMMYFUNCTION("""COMPUTED_VALUE"""),16.07)</f>
        <v>16.07</v>
      </c>
      <c r="E377" s="1">
        <f>IFERROR(__xludf.DUMMYFUNCTION("""COMPUTED_VALUE"""),16.39)</f>
        <v>16.39</v>
      </c>
      <c r="F377" s="1">
        <f>IFERROR(__xludf.DUMMYFUNCTION("""COMPUTED_VALUE"""),291047.0)</f>
        <v>291047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IFERROR(__xludf.DUMMYFUNCTION("""COMPUTED_VALUE"""),16.37)</f>
        <v>16.37</v>
      </c>
      <c r="C378" s="1">
        <f>IFERROR(__xludf.DUMMYFUNCTION("""COMPUTED_VALUE"""),16.64)</f>
        <v>16.64</v>
      </c>
      <c r="D378" s="1">
        <f>IFERROR(__xludf.DUMMYFUNCTION("""COMPUTED_VALUE"""),16.31)</f>
        <v>16.31</v>
      </c>
      <c r="E378" s="1">
        <f>IFERROR(__xludf.DUMMYFUNCTION("""COMPUTED_VALUE"""),16.39)</f>
        <v>16.39</v>
      </c>
      <c r="F378" s="1">
        <f>IFERROR(__xludf.DUMMYFUNCTION("""COMPUTED_VALUE"""),375051.0)</f>
        <v>375051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IFERROR(__xludf.DUMMYFUNCTION("""COMPUTED_VALUE"""),16.46)</f>
        <v>16.46</v>
      </c>
      <c r="C379" s="1">
        <f>IFERROR(__xludf.DUMMYFUNCTION("""COMPUTED_VALUE"""),16.83)</f>
        <v>16.83</v>
      </c>
      <c r="D379" s="1">
        <f>IFERROR(__xludf.DUMMYFUNCTION("""COMPUTED_VALUE"""),16.4)</f>
        <v>16.4</v>
      </c>
      <c r="E379" s="1">
        <f>IFERROR(__xludf.DUMMYFUNCTION("""COMPUTED_VALUE"""),16.66)</f>
        <v>16.66</v>
      </c>
      <c r="F379" s="1">
        <f>IFERROR(__xludf.DUMMYFUNCTION("""COMPUTED_VALUE"""),355604.0)</f>
        <v>355604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IFERROR(__xludf.DUMMYFUNCTION("""COMPUTED_VALUE"""),16.65)</f>
        <v>16.65</v>
      </c>
      <c r="C380" s="1">
        <f>IFERROR(__xludf.DUMMYFUNCTION("""COMPUTED_VALUE"""),16.78)</f>
        <v>16.78</v>
      </c>
      <c r="D380" s="1">
        <f>IFERROR(__xludf.DUMMYFUNCTION("""COMPUTED_VALUE"""),16.27)</f>
        <v>16.27</v>
      </c>
      <c r="E380" s="1">
        <f>IFERROR(__xludf.DUMMYFUNCTION("""COMPUTED_VALUE"""),16.49)</f>
        <v>16.49</v>
      </c>
      <c r="F380" s="1">
        <f>IFERROR(__xludf.DUMMYFUNCTION("""COMPUTED_VALUE"""),225707.0)</f>
        <v>225707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IFERROR(__xludf.DUMMYFUNCTION("""COMPUTED_VALUE"""),16.45)</f>
        <v>16.45</v>
      </c>
      <c r="C381" s="1">
        <f>IFERROR(__xludf.DUMMYFUNCTION("""COMPUTED_VALUE"""),16.78)</f>
        <v>16.78</v>
      </c>
      <c r="D381" s="1">
        <f>IFERROR(__xludf.DUMMYFUNCTION("""COMPUTED_VALUE"""),16.34)</f>
        <v>16.34</v>
      </c>
      <c r="E381" s="1">
        <f>IFERROR(__xludf.DUMMYFUNCTION("""COMPUTED_VALUE"""),16.78)</f>
        <v>16.78</v>
      </c>
      <c r="F381" s="1">
        <f>IFERROR(__xludf.DUMMYFUNCTION("""COMPUTED_VALUE"""),304479.0)</f>
        <v>304479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IFERROR(__xludf.DUMMYFUNCTION("""COMPUTED_VALUE"""),16.89)</f>
        <v>16.89</v>
      </c>
      <c r="C382" s="1">
        <f>IFERROR(__xludf.DUMMYFUNCTION("""COMPUTED_VALUE"""),17.06)</f>
        <v>17.06</v>
      </c>
      <c r="D382" s="1">
        <f>IFERROR(__xludf.DUMMYFUNCTION("""COMPUTED_VALUE"""),16.74)</f>
        <v>16.74</v>
      </c>
      <c r="E382" s="1">
        <f>IFERROR(__xludf.DUMMYFUNCTION("""COMPUTED_VALUE"""),17.06)</f>
        <v>17.06</v>
      </c>
      <c r="F382" s="1">
        <f>IFERROR(__xludf.DUMMYFUNCTION("""COMPUTED_VALUE"""),355527.0)</f>
        <v>355527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IFERROR(__xludf.DUMMYFUNCTION("""COMPUTED_VALUE"""),16.86)</f>
        <v>16.86</v>
      </c>
      <c r="C383" s="1">
        <f>IFERROR(__xludf.DUMMYFUNCTION("""COMPUTED_VALUE"""),16.99)</f>
        <v>16.99</v>
      </c>
      <c r="D383" s="1">
        <f>IFERROR(__xludf.DUMMYFUNCTION("""COMPUTED_VALUE"""),16.59)</f>
        <v>16.59</v>
      </c>
      <c r="E383" s="1">
        <f>IFERROR(__xludf.DUMMYFUNCTION("""COMPUTED_VALUE"""),16.64)</f>
        <v>16.64</v>
      </c>
      <c r="F383" s="1">
        <f>IFERROR(__xludf.DUMMYFUNCTION("""COMPUTED_VALUE"""),274339.0)</f>
        <v>274339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IFERROR(__xludf.DUMMYFUNCTION("""COMPUTED_VALUE"""),16.46)</f>
        <v>16.46</v>
      </c>
      <c r="C384" s="1">
        <f>IFERROR(__xludf.DUMMYFUNCTION("""COMPUTED_VALUE"""),16.52)</f>
        <v>16.52</v>
      </c>
      <c r="D384" s="1">
        <f>IFERROR(__xludf.DUMMYFUNCTION("""COMPUTED_VALUE"""),16.19)</f>
        <v>16.19</v>
      </c>
      <c r="E384" s="1">
        <f>IFERROR(__xludf.DUMMYFUNCTION("""COMPUTED_VALUE"""),16.24)</f>
        <v>16.24</v>
      </c>
      <c r="F384" s="1">
        <f>IFERROR(__xludf.DUMMYFUNCTION("""COMPUTED_VALUE"""),302592.0)</f>
        <v>302592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IFERROR(__xludf.DUMMYFUNCTION("""COMPUTED_VALUE"""),16.2)</f>
        <v>16.2</v>
      </c>
      <c r="C385" s="1">
        <f>IFERROR(__xludf.DUMMYFUNCTION("""COMPUTED_VALUE"""),16.71)</f>
        <v>16.71</v>
      </c>
      <c r="D385" s="1">
        <f>IFERROR(__xludf.DUMMYFUNCTION("""COMPUTED_VALUE"""),16.2)</f>
        <v>16.2</v>
      </c>
      <c r="E385" s="1">
        <f>IFERROR(__xludf.DUMMYFUNCTION("""COMPUTED_VALUE"""),16.49)</f>
        <v>16.49</v>
      </c>
      <c r="F385" s="1">
        <f>IFERROR(__xludf.DUMMYFUNCTION("""COMPUTED_VALUE"""),252854.0)</f>
        <v>252854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IFERROR(__xludf.DUMMYFUNCTION("""COMPUTED_VALUE"""),16.56)</f>
        <v>16.56</v>
      </c>
      <c r="C386" s="1">
        <f>IFERROR(__xludf.DUMMYFUNCTION("""COMPUTED_VALUE"""),16.76)</f>
        <v>16.76</v>
      </c>
      <c r="D386" s="1">
        <f>IFERROR(__xludf.DUMMYFUNCTION("""COMPUTED_VALUE"""),16.42)</f>
        <v>16.42</v>
      </c>
      <c r="E386" s="1">
        <f>IFERROR(__xludf.DUMMYFUNCTION("""COMPUTED_VALUE"""),16.45)</f>
        <v>16.45</v>
      </c>
      <c r="F386" s="1">
        <f>IFERROR(__xludf.DUMMYFUNCTION("""COMPUTED_VALUE"""),224194.0)</f>
        <v>224194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IFERROR(__xludf.DUMMYFUNCTION("""COMPUTED_VALUE"""),16.5)</f>
        <v>16.5</v>
      </c>
      <c r="C387" s="1">
        <f>IFERROR(__xludf.DUMMYFUNCTION("""COMPUTED_VALUE"""),16.57)</f>
        <v>16.57</v>
      </c>
      <c r="D387" s="1">
        <f>IFERROR(__xludf.DUMMYFUNCTION("""COMPUTED_VALUE"""),15.78)</f>
        <v>15.78</v>
      </c>
      <c r="E387" s="1">
        <f>IFERROR(__xludf.DUMMYFUNCTION("""COMPUTED_VALUE"""),15.78)</f>
        <v>15.78</v>
      </c>
      <c r="F387" s="1">
        <f>IFERROR(__xludf.DUMMYFUNCTION("""COMPUTED_VALUE"""),362916.0)</f>
        <v>362916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IFERROR(__xludf.DUMMYFUNCTION("""COMPUTED_VALUE"""),15.84)</f>
        <v>15.84</v>
      </c>
      <c r="C388" s="1">
        <f>IFERROR(__xludf.DUMMYFUNCTION("""COMPUTED_VALUE"""),15.99)</f>
        <v>15.99</v>
      </c>
      <c r="D388" s="1">
        <f>IFERROR(__xludf.DUMMYFUNCTION("""COMPUTED_VALUE"""),15.6)</f>
        <v>15.6</v>
      </c>
      <c r="E388" s="1">
        <f>IFERROR(__xludf.DUMMYFUNCTION("""COMPUTED_VALUE"""),15.69)</f>
        <v>15.69</v>
      </c>
      <c r="F388" s="1">
        <f>IFERROR(__xludf.DUMMYFUNCTION("""COMPUTED_VALUE"""),271246.0)</f>
        <v>271246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IFERROR(__xludf.DUMMYFUNCTION("""COMPUTED_VALUE"""),15.68)</f>
        <v>15.68</v>
      </c>
      <c r="C389" s="1">
        <f>IFERROR(__xludf.DUMMYFUNCTION("""COMPUTED_VALUE"""),15.89)</f>
        <v>15.89</v>
      </c>
      <c r="D389" s="1">
        <f>IFERROR(__xludf.DUMMYFUNCTION("""COMPUTED_VALUE"""),15.35)</f>
        <v>15.35</v>
      </c>
      <c r="E389" s="1">
        <f>IFERROR(__xludf.DUMMYFUNCTION("""COMPUTED_VALUE"""),15.44)</f>
        <v>15.44</v>
      </c>
      <c r="F389" s="1">
        <f>IFERROR(__xludf.DUMMYFUNCTION("""COMPUTED_VALUE"""),254893.0)</f>
        <v>254893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IFERROR(__xludf.DUMMYFUNCTION("""COMPUTED_VALUE"""),15.64)</f>
        <v>15.64</v>
      </c>
      <c r="C390" s="1">
        <f>IFERROR(__xludf.DUMMYFUNCTION("""COMPUTED_VALUE"""),15.96)</f>
        <v>15.96</v>
      </c>
      <c r="D390" s="1">
        <f>IFERROR(__xludf.DUMMYFUNCTION("""COMPUTED_VALUE"""),15.46)</f>
        <v>15.46</v>
      </c>
      <c r="E390" s="1">
        <f>IFERROR(__xludf.DUMMYFUNCTION("""COMPUTED_VALUE"""),15.96)</f>
        <v>15.96</v>
      </c>
      <c r="F390" s="1">
        <f>IFERROR(__xludf.DUMMYFUNCTION("""COMPUTED_VALUE"""),304284.0)</f>
        <v>304284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IFERROR(__xludf.DUMMYFUNCTION("""COMPUTED_VALUE"""),15.89)</f>
        <v>15.89</v>
      </c>
      <c r="C391" s="1">
        <f>IFERROR(__xludf.DUMMYFUNCTION("""COMPUTED_VALUE"""),16.14)</f>
        <v>16.14</v>
      </c>
      <c r="D391" s="1">
        <f>IFERROR(__xludf.DUMMYFUNCTION("""COMPUTED_VALUE"""),15.72)</f>
        <v>15.72</v>
      </c>
      <c r="E391" s="1">
        <f>IFERROR(__xludf.DUMMYFUNCTION("""COMPUTED_VALUE"""),16.02)</f>
        <v>16.02</v>
      </c>
      <c r="F391" s="1">
        <f>IFERROR(__xludf.DUMMYFUNCTION("""COMPUTED_VALUE"""),280092.0)</f>
        <v>280092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IFERROR(__xludf.DUMMYFUNCTION("""COMPUTED_VALUE"""),15.82)</f>
        <v>15.82</v>
      </c>
      <c r="C392" s="1">
        <f>IFERROR(__xludf.DUMMYFUNCTION("""COMPUTED_VALUE"""),16.1)</f>
        <v>16.1</v>
      </c>
      <c r="D392" s="1">
        <f>IFERROR(__xludf.DUMMYFUNCTION("""COMPUTED_VALUE"""),15.73)</f>
        <v>15.73</v>
      </c>
      <c r="E392" s="1">
        <f>IFERROR(__xludf.DUMMYFUNCTION("""COMPUTED_VALUE"""),15.78)</f>
        <v>15.78</v>
      </c>
      <c r="F392" s="1">
        <f>IFERROR(__xludf.DUMMYFUNCTION("""COMPUTED_VALUE"""),500571.0)</f>
        <v>500571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IFERROR(__xludf.DUMMYFUNCTION("""COMPUTED_VALUE"""),15.71)</f>
        <v>15.71</v>
      </c>
      <c r="C393" s="1">
        <f>IFERROR(__xludf.DUMMYFUNCTION("""COMPUTED_VALUE"""),15.76)</f>
        <v>15.76</v>
      </c>
      <c r="D393" s="1">
        <f>IFERROR(__xludf.DUMMYFUNCTION("""COMPUTED_VALUE"""),15.31)</f>
        <v>15.31</v>
      </c>
      <c r="E393" s="1">
        <f>IFERROR(__xludf.DUMMYFUNCTION("""COMPUTED_VALUE"""),15.4)</f>
        <v>15.4</v>
      </c>
      <c r="F393" s="1">
        <f>IFERROR(__xludf.DUMMYFUNCTION("""COMPUTED_VALUE"""),363794.0)</f>
        <v>363794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IFERROR(__xludf.DUMMYFUNCTION("""COMPUTED_VALUE"""),15.2)</f>
        <v>15.2</v>
      </c>
      <c r="C394" s="1">
        <f>IFERROR(__xludf.DUMMYFUNCTION("""COMPUTED_VALUE"""),15.28)</f>
        <v>15.28</v>
      </c>
      <c r="D394" s="1">
        <f>IFERROR(__xludf.DUMMYFUNCTION("""COMPUTED_VALUE"""),14.96)</f>
        <v>14.96</v>
      </c>
      <c r="E394" s="1">
        <f>IFERROR(__xludf.DUMMYFUNCTION("""COMPUTED_VALUE"""),15.16)</f>
        <v>15.16</v>
      </c>
      <c r="F394" s="1">
        <f>IFERROR(__xludf.DUMMYFUNCTION("""COMPUTED_VALUE"""),452150.0)</f>
        <v>452150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IFERROR(__xludf.DUMMYFUNCTION("""COMPUTED_VALUE"""),15.17)</f>
        <v>15.17</v>
      </c>
      <c r="C395" s="1">
        <f>IFERROR(__xludf.DUMMYFUNCTION("""COMPUTED_VALUE"""),15.2)</f>
        <v>15.2</v>
      </c>
      <c r="D395" s="1">
        <f>IFERROR(__xludf.DUMMYFUNCTION("""COMPUTED_VALUE"""),14.65)</f>
        <v>14.65</v>
      </c>
      <c r="E395" s="1">
        <f>IFERROR(__xludf.DUMMYFUNCTION("""COMPUTED_VALUE"""),14.67)</f>
        <v>14.67</v>
      </c>
      <c r="F395" s="1">
        <f>IFERROR(__xludf.DUMMYFUNCTION("""COMPUTED_VALUE"""),591307.0)</f>
        <v>591307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IFERROR(__xludf.DUMMYFUNCTION("""COMPUTED_VALUE"""),14.67)</f>
        <v>14.67</v>
      </c>
      <c r="C396" s="1">
        <f>IFERROR(__xludf.DUMMYFUNCTION("""COMPUTED_VALUE"""),14.72)</f>
        <v>14.72</v>
      </c>
      <c r="D396" s="1">
        <f>IFERROR(__xludf.DUMMYFUNCTION("""COMPUTED_VALUE"""),14.22)</f>
        <v>14.22</v>
      </c>
      <c r="E396" s="1">
        <f>IFERROR(__xludf.DUMMYFUNCTION("""COMPUTED_VALUE"""),14.24)</f>
        <v>14.24</v>
      </c>
      <c r="F396" s="1">
        <f>IFERROR(__xludf.DUMMYFUNCTION("""COMPUTED_VALUE"""),719761.0)</f>
        <v>719761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IFERROR(__xludf.DUMMYFUNCTION("""COMPUTED_VALUE"""),14.32)</f>
        <v>14.32</v>
      </c>
      <c r="C397" s="1">
        <f>IFERROR(__xludf.DUMMYFUNCTION("""COMPUTED_VALUE"""),14.46)</f>
        <v>14.46</v>
      </c>
      <c r="D397" s="1">
        <f>IFERROR(__xludf.DUMMYFUNCTION("""COMPUTED_VALUE"""),13.75)</f>
        <v>13.75</v>
      </c>
      <c r="E397" s="1">
        <f>IFERROR(__xludf.DUMMYFUNCTION("""COMPUTED_VALUE"""),13.84)</f>
        <v>13.84</v>
      </c>
      <c r="F397" s="1">
        <f>IFERROR(__xludf.DUMMYFUNCTION("""COMPUTED_VALUE"""),726573.0)</f>
        <v>726573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IFERROR(__xludf.DUMMYFUNCTION("""COMPUTED_VALUE"""),13.65)</f>
        <v>13.65</v>
      </c>
      <c r="C398" s="1">
        <f>IFERROR(__xludf.DUMMYFUNCTION("""COMPUTED_VALUE"""),13.9)</f>
        <v>13.9</v>
      </c>
      <c r="D398" s="1">
        <f>IFERROR(__xludf.DUMMYFUNCTION("""COMPUTED_VALUE"""),13.42)</f>
        <v>13.42</v>
      </c>
      <c r="E398" s="1">
        <f>IFERROR(__xludf.DUMMYFUNCTION("""COMPUTED_VALUE"""),13.86)</f>
        <v>13.86</v>
      </c>
      <c r="F398" s="1">
        <f>IFERROR(__xludf.DUMMYFUNCTION("""COMPUTED_VALUE"""),783659.0)</f>
        <v>783659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IFERROR(__xludf.DUMMYFUNCTION("""COMPUTED_VALUE"""),14.21)</f>
        <v>14.21</v>
      </c>
      <c r="C399" s="1">
        <f>IFERROR(__xludf.DUMMYFUNCTION("""COMPUTED_VALUE"""),14.28)</f>
        <v>14.28</v>
      </c>
      <c r="D399" s="1">
        <f>IFERROR(__xludf.DUMMYFUNCTION("""COMPUTED_VALUE"""),13.66)</f>
        <v>13.66</v>
      </c>
      <c r="E399" s="1">
        <f>IFERROR(__xludf.DUMMYFUNCTION("""COMPUTED_VALUE"""),13.94)</f>
        <v>13.94</v>
      </c>
      <c r="F399" s="1">
        <f>IFERROR(__xludf.DUMMYFUNCTION("""COMPUTED_VALUE"""),667422.0)</f>
        <v>667422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IFERROR(__xludf.DUMMYFUNCTION("""COMPUTED_VALUE"""),13.92)</f>
        <v>13.92</v>
      </c>
      <c r="C400" s="1">
        <f>IFERROR(__xludf.DUMMYFUNCTION("""COMPUTED_VALUE"""),14.07)</f>
        <v>14.07</v>
      </c>
      <c r="D400" s="1">
        <f>IFERROR(__xludf.DUMMYFUNCTION("""COMPUTED_VALUE"""),13.48)</f>
        <v>13.48</v>
      </c>
      <c r="E400" s="1">
        <f>IFERROR(__xludf.DUMMYFUNCTION("""COMPUTED_VALUE"""),13.5)</f>
        <v>13.5</v>
      </c>
      <c r="F400" s="1">
        <f>IFERROR(__xludf.DUMMYFUNCTION("""COMPUTED_VALUE"""),409796.0)</f>
        <v>409796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IFERROR(__xludf.DUMMYFUNCTION("""COMPUTED_VALUE"""),13.58)</f>
        <v>13.58</v>
      </c>
      <c r="C401" s="1">
        <f>IFERROR(__xludf.DUMMYFUNCTION("""COMPUTED_VALUE"""),13.93)</f>
        <v>13.93</v>
      </c>
      <c r="D401" s="1">
        <f>IFERROR(__xludf.DUMMYFUNCTION("""COMPUTED_VALUE"""),13.33)</f>
        <v>13.33</v>
      </c>
      <c r="E401" s="1">
        <f>IFERROR(__xludf.DUMMYFUNCTION("""COMPUTED_VALUE"""),13.81)</f>
        <v>13.81</v>
      </c>
      <c r="F401" s="1">
        <f>IFERROR(__xludf.DUMMYFUNCTION("""COMPUTED_VALUE"""),363017.0)</f>
        <v>363017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IFERROR(__xludf.DUMMYFUNCTION("""COMPUTED_VALUE"""),13.6)</f>
        <v>13.6</v>
      </c>
      <c r="C402" s="1">
        <f>IFERROR(__xludf.DUMMYFUNCTION("""COMPUTED_VALUE"""),13.79)</f>
        <v>13.79</v>
      </c>
      <c r="D402" s="1">
        <f>IFERROR(__xludf.DUMMYFUNCTION("""COMPUTED_VALUE"""),12.79)</f>
        <v>12.79</v>
      </c>
      <c r="E402" s="1">
        <f>IFERROR(__xludf.DUMMYFUNCTION("""COMPUTED_VALUE"""),12.8)</f>
        <v>12.8</v>
      </c>
      <c r="F402" s="1">
        <f>IFERROR(__xludf.DUMMYFUNCTION("""COMPUTED_VALUE"""),673082.0)</f>
        <v>673082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IFERROR(__xludf.DUMMYFUNCTION("""COMPUTED_VALUE"""),12.91)</f>
        <v>12.91</v>
      </c>
      <c r="C403" s="1">
        <f>IFERROR(__xludf.DUMMYFUNCTION("""COMPUTED_VALUE"""),13.14)</f>
        <v>13.14</v>
      </c>
      <c r="D403" s="1">
        <f>IFERROR(__xludf.DUMMYFUNCTION("""COMPUTED_VALUE"""),12.3)</f>
        <v>12.3</v>
      </c>
      <c r="E403" s="1">
        <f>IFERROR(__xludf.DUMMYFUNCTION("""COMPUTED_VALUE"""),12.6)</f>
        <v>12.6</v>
      </c>
      <c r="F403" s="1">
        <f>IFERROR(__xludf.DUMMYFUNCTION("""COMPUTED_VALUE"""),734441.0)</f>
        <v>734441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IFERROR(__xludf.DUMMYFUNCTION("""COMPUTED_VALUE"""),12.17)</f>
        <v>12.17</v>
      </c>
      <c r="C404" s="1">
        <f>IFERROR(__xludf.DUMMYFUNCTION("""COMPUTED_VALUE"""),12.77)</f>
        <v>12.77</v>
      </c>
      <c r="D404" s="1">
        <f>IFERROR(__xludf.DUMMYFUNCTION("""COMPUTED_VALUE"""),10.61)</f>
        <v>10.61</v>
      </c>
      <c r="E404" s="1">
        <f>IFERROR(__xludf.DUMMYFUNCTION("""COMPUTED_VALUE"""),10.61)</f>
        <v>10.61</v>
      </c>
      <c r="F404" s="1">
        <f>IFERROR(__xludf.DUMMYFUNCTION("""COMPUTED_VALUE"""),1192386.0)</f>
        <v>1192386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IFERROR(__xludf.DUMMYFUNCTION("""COMPUTED_VALUE"""),10.85)</f>
        <v>10.85</v>
      </c>
      <c r="C405" s="1">
        <f>IFERROR(__xludf.DUMMYFUNCTION("""COMPUTED_VALUE"""),11.5)</f>
        <v>11.5</v>
      </c>
      <c r="D405" s="1">
        <f>IFERROR(__xludf.DUMMYFUNCTION("""COMPUTED_VALUE"""),10.01)</f>
        <v>10.01</v>
      </c>
      <c r="E405" s="1">
        <f>IFERROR(__xludf.DUMMYFUNCTION("""COMPUTED_VALUE"""),11.25)</f>
        <v>11.25</v>
      </c>
      <c r="F405" s="1">
        <f>IFERROR(__xludf.DUMMYFUNCTION("""COMPUTED_VALUE"""),1505734.0)</f>
        <v>1505734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IFERROR(__xludf.DUMMYFUNCTION("""COMPUTED_VALUE"""),10.93)</f>
        <v>10.93</v>
      </c>
      <c r="C406" s="1">
        <f>IFERROR(__xludf.DUMMYFUNCTION("""COMPUTED_VALUE"""),11.17)</f>
        <v>11.17</v>
      </c>
      <c r="D406" s="1">
        <f>IFERROR(__xludf.DUMMYFUNCTION("""COMPUTED_VALUE"""),10.18)</f>
        <v>10.18</v>
      </c>
      <c r="E406" s="1">
        <f>IFERROR(__xludf.DUMMYFUNCTION("""COMPUTED_VALUE"""),10.21)</f>
        <v>10.21</v>
      </c>
      <c r="F406" s="1">
        <f>IFERROR(__xludf.DUMMYFUNCTION("""COMPUTED_VALUE"""),2445248.0)</f>
        <v>2445248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IFERROR(__xludf.DUMMYFUNCTION("""COMPUTED_VALUE"""),10.28)</f>
        <v>10.28</v>
      </c>
      <c r="C407" s="1">
        <f>IFERROR(__xludf.DUMMYFUNCTION("""COMPUTED_VALUE"""),11.73)</f>
        <v>11.73</v>
      </c>
      <c r="D407" s="1">
        <f>IFERROR(__xludf.DUMMYFUNCTION("""COMPUTED_VALUE"""),10.25)</f>
        <v>10.25</v>
      </c>
      <c r="E407" s="1">
        <f>IFERROR(__xludf.DUMMYFUNCTION("""COMPUTED_VALUE"""),11.44)</f>
        <v>11.44</v>
      </c>
      <c r="F407" s="1">
        <f>IFERROR(__xludf.DUMMYFUNCTION("""COMPUTED_VALUE"""),1591899.0)</f>
        <v>1591899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IFERROR(__xludf.DUMMYFUNCTION("""COMPUTED_VALUE"""),11.58)</f>
        <v>11.58</v>
      </c>
      <c r="C408" s="1">
        <f>IFERROR(__xludf.DUMMYFUNCTION("""COMPUTED_VALUE"""),11.7)</f>
        <v>11.7</v>
      </c>
      <c r="D408" s="1">
        <f>IFERROR(__xludf.DUMMYFUNCTION("""COMPUTED_VALUE"""),11.02)</f>
        <v>11.02</v>
      </c>
      <c r="E408" s="1">
        <f>IFERROR(__xludf.DUMMYFUNCTION("""COMPUTED_VALUE"""),11.42)</f>
        <v>11.42</v>
      </c>
      <c r="F408" s="1">
        <f>IFERROR(__xludf.DUMMYFUNCTION("""COMPUTED_VALUE"""),1033231.0)</f>
        <v>1033231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IFERROR(__xludf.DUMMYFUNCTION("""COMPUTED_VALUE"""),11.92)</f>
        <v>11.92</v>
      </c>
      <c r="C409" s="1">
        <f>IFERROR(__xludf.DUMMYFUNCTION("""COMPUTED_VALUE"""),12.88)</f>
        <v>12.88</v>
      </c>
      <c r="D409" s="1">
        <f>IFERROR(__xludf.DUMMYFUNCTION("""COMPUTED_VALUE"""),11.91)</f>
        <v>11.91</v>
      </c>
      <c r="E409" s="1">
        <f>IFERROR(__xludf.DUMMYFUNCTION("""COMPUTED_VALUE"""),12.57)</f>
        <v>12.57</v>
      </c>
      <c r="F409" s="1">
        <f>IFERROR(__xludf.DUMMYFUNCTION("""COMPUTED_VALUE"""),1356398.0)</f>
        <v>1356398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IFERROR(__xludf.DUMMYFUNCTION("""COMPUTED_VALUE"""),12.34)</f>
        <v>12.34</v>
      </c>
      <c r="C410" s="1">
        <f>IFERROR(__xludf.DUMMYFUNCTION("""COMPUTED_VALUE"""),12.63)</f>
        <v>12.63</v>
      </c>
      <c r="D410" s="1">
        <f>IFERROR(__xludf.DUMMYFUNCTION("""COMPUTED_VALUE"""),12.03)</f>
        <v>12.03</v>
      </c>
      <c r="E410" s="1">
        <f>IFERROR(__xludf.DUMMYFUNCTION("""COMPUTED_VALUE"""),12.43)</f>
        <v>12.43</v>
      </c>
      <c r="F410" s="1">
        <f>IFERROR(__xludf.DUMMYFUNCTION("""COMPUTED_VALUE"""),1059494.0)</f>
        <v>1059494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IFERROR(__xludf.DUMMYFUNCTION("""COMPUTED_VALUE"""),12.5)</f>
        <v>12.5</v>
      </c>
      <c r="C411" s="1">
        <f>IFERROR(__xludf.DUMMYFUNCTION("""COMPUTED_VALUE"""),12.64)</f>
        <v>12.64</v>
      </c>
      <c r="D411" s="1">
        <f>IFERROR(__xludf.DUMMYFUNCTION("""COMPUTED_VALUE"""),12.21)</f>
        <v>12.21</v>
      </c>
      <c r="E411" s="1">
        <f>IFERROR(__xludf.DUMMYFUNCTION("""COMPUTED_VALUE"""),12.42)</f>
        <v>12.42</v>
      </c>
      <c r="F411" s="1">
        <f>IFERROR(__xludf.DUMMYFUNCTION("""COMPUTED_VALUE"""),518900.0)</f>
        <v>518900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IFERROR(__xludf.DUMMYFUNCTION("""COMPUTED_VALUE"""),11.95)</f>
        <v>11.95</v>
      </c>
      <c r="C412" s="1">
        <f>IFERROR(__xludf.DUMMYFUNCTION("""COMPUTED_VALUE"""),12.14)</f>
        <v>12.14</v>
      </c>
      <c r="D412" s="1">
        <f>IFERROR(__xludf.DUMMYFUNCTION("""COMPUTED_VALUE"""),11.5)</f>
        <v>11.5</v>
      </c>
      <c r="E412" s="1">
        <f>IFERROR(__xludf.DUMMYFUNCTION("""COMPUTED_VALUE"""),11.61)</f>
        <v>11.61</v>
      </c>
      <c r="F412" s="1">
        <f>IFERROR(__xludf.DUMMYFUNCTION("""COMPUTED_VALUE"""),1091465.0)</f>
        <v>1091465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IFERROR(__xludf.DUMMYFUNCTION("""COMPUTED_VALUE"""),11.45)</f>
        <v>11.45</v>
      </c>
      <c r="C413" s="1">
        <f>IFERROR(__xludf.DUMMYFUNCTION("""COMPUTED_VALUE"""),11.99)</f>
        <v>11.99</v>
      </c>
      <c r="D413" s="1">
        <f>IFERROR(__xludf.DUMMYFUNCTION("""COMPUTED_VALUE"""),11.44)</f>
        <v>11.44</v>
      </c>
      <c r="E413" s="1">
        <f>IFERROR(__xludf.DUMMYFUNCTION("""COMPUTED_VALUE"""),11.54)</f>
        <v>11.54</v>
      </c>
      <c r="F413" s="1">
        <f>IFERROR(__xludf.DUMMYFUNCTION("""COMPUTED_VALUE"""),954440.0)</f>
        <v>954440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IFERROR(__xludf.DUMMYFUNCTION("""COMPUTED_VALUE"""),11.92)</f>
        <v>11.92</v>
      </c>
      <c r="C414" s="1">
        <f>IFERROR(__xludf.DUMMYFUNCTION("""COMPUTED_VALUE"""),11.92)</f>
        <v>11.92</v>
      </c>
      <c r="D414" s="1">
        <f>IFERROR(__xludf.DUMMYFUNCTION("""COMPUTED_VALUE"""),11.32)</f>
        <v>11.32</v>
      </c>
      <c r="E414" s="1">
        <f>IFERROR(__xludf.DUMMYFUNCTION("""COMPUTED_VALUE"""),11.42)</f>
        <v>11.42</v>
      </c>
      <c r="F414" s="1">
        <f>IFERROR(__xludf.DUMMYFUNCTION("""COMPUTED_VALUE"""),474386.0)</f>
        <v>474386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IFERROR(__xludf.DUMMYFUNCTION("""COMPUTED_VALUE"""),11.71)</f>
        <v>11.71</v>
      </c>
      <c r="C415" s="1">
        <f>IFERROR(__xludf.DUMMYFUNCTION("""COMPUTED_VALUE"""),12.31)</f>
        <v>12.31</v>
      </c>
      <c r="D415" s="1">
        <f>IFERROR(__xludf.DUMMYFUNCTION("""COMPUTED_VALUE"""),11.48)</f>
        <v>11.48</v>
      </c>
      <c r="E415" s="1">
        <f>IFERROR(__xludf.DUMMYFUNCTION("""COMPUTED_VALUE"""),12.25)</f>
        <v>12.25</v>
      </c>
      <c r="F415" s="1">
        <f>IFERROR(__xludf.DUMMYFUNCTION("""COMPUTED_VALUE"""),676156.0)</f>
        <v>676156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IFERROR(__xludf.DUMMYFUNCTION("""COMPUTED_VALUE"""),12.27)</f>
        <v>12.27</v>
      </c>
      <c r="C416" s="1">
        <f>IFERROR(__xludf.DUMMYFUNCTION("""COMPUTED_VALUE"""),12.66)</f>
        <v>12.66</v>
      </c>
      <c r="D416" s="1">
        <f>IFERROR(__xludf.DUMMYFUNCTION("""COMPUTED_VALUE"""),12.01)</f>
        <v>12.01</v>
      </c>
      <c r="E416" s="1">
        <f>IFERROR(__xludf.DUMMYFUNCTION("""COMPUTED_VALUE"""),12.42)</f>
        <v>12.42</v>
      </c>
      <c r="F416" s="1">
        <f>IFERROR(__xludf.DUMMYFUNCTION("""COMPUTED_VALUE"""),525638.0)</f>
        <v>525638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IFERROR(__xludf.DUMMYFUNCTION("""COMPUTED_VALUE"""),12.59)</f>
        <v>12.59</v>
      </c>
      <c r="C417" s="1">
        <f>IFERROR(__xludf.DUMMYFUNCTION("""COMPUTED_VALUE"""),13.22)</f>
        <v>13.22</v>
      </c>
      <c r="D417" s="1">
        <f>IFERROR(__xludf.DUMMYFUNCTION("""COMPUTED_VALUE"""),12.09)</f>
        <v>12.09</v>
      </c>
      <c r="E417" s="1">
        <f>IFERROR(__xludf.DUMMYFUNCTION("""COMPUTED_VALUE"""),12.12)</f>
        <v>12.12</v>
      </c>
      <c r="F417" s="1">
        <f>IFERROR(__xludf.DUMMYFUNCTION("""COMPUTED_VALUE"""),668197.0)</f>
        <v>668197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IFERROR(__xludf.DUMMYFUNCTION("""COMPUTED_VALUE"""),12.08)</f>
        <v>12.08</v>
      </c>
      <c r="C418" s="1">
        <f>IFERROR(__xludf.DUMMYFUNCTION("""COMPUTED_VALUE"""),12.47)</f>
        <v>12.47</v>
      </c>
      <c r="D418" s="1">
        <f>IFERROR(__xludf.DUMMYFUNCTION("""COMPUTED_VALUE"""),11.73)</f>
        <v>11.73</v>
      </c>
      <c r="E418" s="1">
        <f>IFERROR(__xludf.DUMMYFUNCTION("""COMPUTED_VALUE"""),12.36)</f>
        <v>12.36</v>
      </c>
      <c r="F418" s="1">
        <f>IFERROR(__xludf.DUMMYFUNCTION("""COMPUTED_VALUE"""),436731.0)</f>
        <v>436731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IFERROR(__xludf.DUMMYFUNCTION("""COMPUTED_VALUE"""),12.56)</f>
        <v>12.56</v>
      </c>
      <c r="C419" s="1">
        <f>IFERROR(__xludf.DUMMYFUNCTION("""COMPUTED_VALUE"""),13.21)</f>
        <v>13.21</v>
      </c>
      <c r="D419" s="1">
        <f>IFERROR(__xludf.DUMMYFUNCTION("""COMPUTED_VALUE"""),12.54)</f>
        <v>12.54</v>
      </c>
      <c r="E419" s="1">
        <f>IFERROR(__xludf.DUMMYFUNCTION("""COMPUTED_VALUE"""),13.12)</f>
        <v>13.12</v>
      </c>
      <c r="F419" s="1">
        <f>IFERROR(__xludf.DUMMYFUNCTION("""COMPUTED_VALUE"""),712036.0)</f>
        <v>712036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IFERROR(__xludf.DUMMYFUNCTION("""COMPUTED_VALUE"""),12.95)</f>
        <v>12.95</v>
      </c>
      <c r="C420" s="1">
        <f>IFERROR(__xludf.DUMMYFUNCTION("""COMPUTED_VALUE"""),13.14)</f>
        <v>13.14</v>
      </c>
      <c r="D420" s="1">
        <f>IFERROR(__xludf.DUMMYFUNCTION("""COMPUTED_VALUE"""),12.64)</f>
        <v>12.64</v>
      </c>
      <c r="E420" s="1">
        <f>IFERROR(__xludf.DUMMYFUNCTION("""COMPUTED_VALUE"""),12.83)</f>
        <v>12.83</v>
      </c>
      <c r="F420" s="1">
        <f>IFERROR(__xludf.DUMMYFUNCTION("""COMPUTED_VALUE"""),482118.0)</f>
        <v>482118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IFERROR(__xludf.DUMMYFUNCTION("""COMPUTED_VALUE"""),12.91)</f>
        <v>12.91</v>
      </c>
      <c r="C421" s="1">
        <f>IFERROR(__xludf.DUMMYFUNCTION("""COMPUTED_VALUE"""),13.07)</f>
        <v>13.07</v>
      </c>
      <c r="D421" s="1">
        <f>IFERROR(__xludf.DUMMYFUNCTION("""COMPUTED_VALUE"""),12.61)</f>
        <v>12.61</v>
      </c>
      <c r="E421" s="1">
        <f>IFERROR(__xludf.DUMMYFUNCTION("""COMPUTED_VALUE"""),12.82)</f>
        <v>12.82</v>
      </c>
      <c r="F421" s="1">
        <f>IFERROR(__xludf.DUMMYFUNCTION("""COMPUTED_VALUE"""),502064.0)</f>
        <v>502064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IFERROR(__xludf.DUMMYFUNCTION("""COMPUTED_VALUE"""),12.8)</f>
        <v>12.8</v>
      </c>
      <c r="C422" s="1">
        <f>IFERROR(__xludf.DUMMYFUNCTION("""COMPUTED_VALUE"""),13.17)</f>
        <v>13.17</v>
      </c>
      <c r="D422" s="1">
        <f>IFERROR(__xludf.DUMMYFUNCTION("""COMPUTED_VALUE"""),12.21)</f>
        <v>12.21</v>
      </c>
      <c r="E422" s="1">
        <f>IFERROR(__xludf.DUMMYFUNCTION("""COMPUTED_VALUE"""),12.31)</f>
        <v>12.31</v>
      </c>
      <c r="F422" s="1">
        <f>IFERROR(__xludf.DUMMYFUNCTION("""COMPUTED_VALUE"""),515266.0)</f>
        <v>515266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IFERROR(__xludf.DUMMYFUNCTION("""COMPUTED_VALUE"""),11.86)</f>
        <v>11.86</v>
      </c>
      <c r="C423" s="1">
        <f>IFERROR(__xludf.DUMMYFUNCTION("""COMPUTED_VALUE"""),12.15)</f>
        <v>12.15</v>
      </c>
      <c r="D423" s="1">
        <f>IFERROR(__xludf.DUMMYFUNCTION("""COMPUTED_VALUE"""),11.54)</f>
        <v>11.54</v>
      </c>
      <c r="E423" s="1">
        <f>IFERROR(__xludf.DUMMYFUNCTION("""COMPUTED_VALUE"""),11.58)</f>
        <v>11.58</v>
      </c>
      <c r="F423" s="1">
        <f>IFERROR(__xludf.DUMMYFUNCTION("""COMPUTED_VALUE"""),754319.0)</f>
        <v>754319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IFERROR(__xludf.DUMMYFUNCTION("""COMPUTED_VALUE"""),11.1)</f>
        <v>11.1</v>
      </c>
      <c r="C424" s="1">
        <f>IFERROR(__xludf.DUMMYFUNCTION("""COMPUTED_VALUE"""),11.54)</f>
        <v>11.54</v>
      </c>
      <c r="D424" s="1">
        <f>IFERROR(__xludf.DUMMYFUNCTION("""COMPUTED_VALUE"""),11.01)</f>
        <v>11.01</v>
      </c>
      <c r="E424" s="1">
        <f>IFERROR(__xludf.DUMMYFUNCTION("""COMPUTED_VALUE"""),11.54)</f>
        <v>11.54</v>
      </c>
      <c r="F424" s="1">
        <f>IFERROR(__xludf.DUMMYFUNCTION("""COMPUTED_VALUE"""),588714.0)</f>
        <v>588714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IFERROR(__xludf.DUMMYFUNCTION("""COMPUTED_VALUE"""),11.8)</f>
        <v>11.8</v>
      </c>
      <c r="C425" s="1">
        <f>IFERROR(__xludf.DUMMYFUNCTION("""COMPUTED_VALUE"""),12.45)</f>
        <v>12.45</v>
      </c>
      <c r="D425" s="1">
        <f>IFERROR(__xludf.DUMMYFUNCTION("""COMPUTED_VALUE"""),11.73)</f>
        <v>11.73</v>
      </c>
      <c r="E425" s="1">
        <f>IFERROR(__xludf.DUMMYFUNCTION("""COMPUTED_VALUE"""),12.28)</f>
        <v>12.28</v>
      </c>
      <c r="F425" s="1">
        <f>IFERROR(__xludf.DUMMYFUNCTION("""COMPUTED_VALUE"""),576394.0)</f>
        <v>576394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IFERROR(__xludf.DUMMYFUNCTION("""COMPUTED_VALUE"""),12.14)</f>
        <v>12.14</v>
      </c>
      <c r="C426" s="1">
        <f>IFERROR(__xludf.DUMMYFUNCTION("""COMPUTED_VALUE"""),12.38)</f>
        <v>12.38</v>
      </c>
      <c r="D426" s="1">
        <f>IFERROR(__xludf.DUMMYFUNCTION("""COMPUTED_VALUE"""),11.77)</f>
        <v>11.77</v>
      </c>
      <c r="E426" s="1">
        <f>IFERROR(__xludf.DUMMYFUNCTION("""COMPUTED_VALUE"""),11.78)</f>
        <v>11.78</v>
      </c>
      <c r="F426" s="1">
        <f>IFERROR(__xludf.DUMMYFUNCTION("""COMPUTED_VALUE"""),479214.0)</f>
        <v>479214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IFERROR(__xludf.DUMMYFUNCTION("""COMPUTED_VALUE"""),11.69)</f>
        <v>11.69</v>
      </c>
      <c r="C427" s="1">
        <f>IFERROR(__xludf.DUMMYFUNCTION("""COMPUTED_VALUE"""),11.82)</f>
        <v>11.82</v>
      </c>
      <c r="D427" s="1">
        <f>IFERROR(__xludf.DUMMYFUNCTION("""COMPUTED_VALUE"""),11.36)</f>
        <v>11.36</v>
      </c>
      <c r="E427" s="1">
        <f>IFERROR(__xludf.DUMMYFUNCTION("""COMPUTED_VALUE"""),11.48)</f>
        <v>11.48</v>
      </c>
      <c r="F427" s="1">
        <f>IFERROR(__xludf.DUMMYFUNCTION("""COMPUTED_VALUE"""),810796.0)</f>
        <v>810796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IFERROR(__xludf.DUMMYFUNCTION("""COMPUTED_VALUE"""),11.25)</f>
        <v>11.25</v>
      </c>
      <c r="C428" s="1">
        <f>IFERROR(__xludf.DUMMYFUNCTION("""COMPUTED_VALUE"""),11.87)</f>
        <v>11.87</v>
      </c>
      <c r="D428" s="1">
        <f>IFERROR(__xludf.DUMMYFUNCTION("""COMPUTED_VALUE"""),11.17)</f>
        <v>11.17</v>
      </c>
      <c r="E428" s="1">
        <f>IFERROR(__xludf.DUMMYFUNCTION("""COMPUTED_VALUE"""),11.74)</f>
        <v>11.74</v>
      </c>
      <c r="F428" s="1">
        <f>IFERROR(__xludf.DUMMYFUNCTION("""COMPUTED_VALUE"""),383645.0)</f>
        <v>383645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IFERROR(__xludf.DUMMYFUNCTION("""COMPUTED_VALUE"""),11.8)</f>
        <v>11.8</v>
      </c>
      <c r="C429" s="1">
        <f>IFERROR(__xludf.DUMMYFUNCTION("""COMPUTED_VALUE"""),12.21)</f>
        <v>12.21</v>
      </c>
      <c r="D429" s="1">
        <f>IFERROR(__xludf.DUMMYFUNCTION("""COMPUTED_VALUE"""),11.7)</f>
        <v>11.7</v>
      </c>
      <c r="E429" s="1">
        <f>IFERROR(__xludf.DUMMYFUNCTION("""COMPUTED_VALUE"""),11.99)</f>
        <v>11.99</v>
      </c>
      <c r="F429" s="1">
        <f>IFERROR(__xludf.DUMMYFUNCTION("""COMPUTED_VALUE"""),497858.0)</f>
        <v>497858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IFERROR(__xludf.DUMMYFUNCTION("""COMPUTED_VALUE"""),12.17)</f>
        <v>12.17</v>
      </c>
      <c r="C430" s="1">
        <f>IFERROR(__xludf.DUMMYFUNCTION("""COMPUTED_VALUE"""),12.39)</f>
        <v>12.39</v>
      </c>
      <c r="D430" s="1">
        <f>IFERROR(__xludf.DUMMYFUNCTION("""COMPUTED_VALUE"""),11.72)</f>
        <v>11.72</v>
      </c>
      <c r="E430" s="1">
        <f>IFERROR(__xludf.DUMMYFUNCTION("""COMPUTED_VALUE"""),12.12)</f>
        <v>12.12</v>
      </c>
      <c r="F430" s="1">
        <f>IFERROR(__xludf.DUMMYFUNCTION("""COMPUTED_VALUE"""),374244.0)</f>
        <v>374244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IFERROR(__xludf.DUMMYFUNCTION("""COMPUTED_VALUE"""),12.31)</f>
        <v>12.31</v>
      </c>
      <c r="C431" s="1">
        <f>IFERROR(__xludf.DUMMYFUNCTION("""COMPUTED_VALUE"""),12.38)</f>
        <v>12.38</v>
      </c>
      <c r="D431" s="1">
        <f>IFERROR(__xludf.DUMMYFUNCTION("""COMPUTED_VALUE"""),12.03)</f>
        <v>12.03</v>
      </c>
      <c r="E431" s="1">
        <f>IFERROR(__xludf.DUMMYFUNCTION("""COMPUTED_VALUE"""),12.37)</f>
        <v>12.37</v>
      </c>
      <c r="F431" s="1">
        <f>IFERROR(__xludf.DUMMYFUNCTION("""COMPUTED_VALUE"""),231542.0)</f>
        <v>231542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IFERROR(__xludf.DUMMYFUNCTION("""COMPUTED_VALUE"""),12.45)</f>
        <v>12.45</v>
      </c>
      <c r="C432" s="1">
        <f>IFERROR(__xludf.DUMMYFUNCTION("""COMPUTED_VALUE"""),12.62)</f>
        <v>12.62</v>
      </c>
      <c r="D432" s="1">
        <f>IFERROR(__xludf.DUMMYFUNCTION("""COMPUTED_VALUE"""),11.9)</f>
        <v>11.9</v>
      </c>
      <c r="E432" s="1">
        <f>IFERROR(__xludf.DUMMYFUNCTION("""COMPUTED_VALUE"""),12.6)</f>
        <v>12.6</v>
      </c>
      <c r="F432" s="1">
        <f>IFERROR(__xludf.DUMMYFUNCTION("""COMPUTED_VALUE"""),967264.0)</f>
        <v>967264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IFERROR(__xludf.DUMMYFUNCTION("""COMPUTED_VALUE"""),12.26)</f>
        <v>12.26</v>
      </c>
      <c r="C433" s="1">
        <f>IFERROR(__xludf.DUMMYFUNCTION("""COMPUTED_VALUE"""),12.51)</f>
        <v>12.51</v>
      </c>
      <c r="D433" s="1">
        <f>IFERROR(__xludf.DUMMYFUNCTION("""COMPUTED_VALUE"""),11.97)</f>
        <v>11.97</v>
      </c>
      <c r="E433" s="1">
        <f>IFERROR(__xludf.DUMMYFUNCTION("""COMPUTED_VALUE"""),12.25)</f>
        <v>12.25</v>
      </c>
      <c r="F433" s="1">
        <f>IFERROR(__xludf.DUMMYFUNCTION("""COMPUTED_VALUE"""),701721.0)</f>
        <v>701721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IFERROR(__xludf.DUMMYFUNCTION("""COMPUTED_VALUE"""),12.3)</f>
        <v>12.3</v>
      </c>
      <c r="C434" s="1">
        <f>IFERROR(__xludf.DUMMYFUNCTION("""COMPUTED_VALUE"""),12.47)</f>
        <v>12.47</v>
      </c>
      <c r="D434" s="1">
        <f>IFERROR(__xludf.DUMMYFUNCTION("""COMPUTED_VALUE"""),11.95)</f>
        <v>11.95</v>
      </c>
      <c r="E434" s="1">
        <f>IFERROR(__xludf.DUMMYFUNCTION("""COMPUTED_VALUE"""),11.96)</f>
        <v>11.96</v>
      </c>
      <c r="F434" s="1">
        <f>IFERROR(__xludf.DUMMYFUNCTION("""COMPUTED_VALUE"""),365692.0)</f>
        <v>365692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IFERROR(__xludf.DUMMYFUNCTION("""COMPUTED_VALUE"""),11.95)</f>
        <v>11.95</v>
      </c>
      <c r="C435" s="1">
        <f>IFERROR(__xludf.DUMMYFUNCTION("""COMPUTED_VALUE"""),12.04)</f>
        <v>12.04</v>
      </c>
      <c r="D435" s="1">
        <f>IFERROR(__xludf.DUMMYFUNCTION("""COMPUTED_VALUE"""),11.26)</f>
        <v>11.26</v>
      </c>
      <c r="E435" s="1">
        <f>IFERROR(__xludf.DUMMYFUNCTION("""COMPUTED_VALUE"""),11.3)</f>
        <v>11.3</v>
      </c>
      <c r="F435" s="1">
        <f>IFERROR(__xludf.DUMMYFUNCTION("""COMPUTED_VALUE"""),670887.0)</f>
        <v>670887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IFERROR(__xludf.DUMMYFUNCTION("""COMPUTED_VALUE"""),11.02)</f>
        <v>11.02</v>
      </c>
      <c r="C436" s="1">
        <f>IFERROR(__xludf.DUMMYFUNCTION("""COMPUTED_VALUE"""),11.5)</f>
        <v>11.5</v>
      </c>
      <c r="D436" s="1">
        <f>IFERROR(__xludf.DUMMYFUNCTION("""COMPUTED_VALUE"""),11.0)</f>
        <v>11</v>
      </c>
      <c r="E436" s="1">
        <f>IFERROR(__xludf.DUMMYFUNCTION("""COMPUTED_VALUE"""),11.37)</f>
        <v>11.37</v>
      </c>
      <c r="F436" s="1">
        <f>IFERROR(__xludf.DUMMYFUNCTION("""COMPUTED_VALUE"""),755506.0)</f>
        <v>755506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IFERROR(__xludf.DUMMYFUNCTION("""COMPUTED_VALUE"""),11.37)</f>
        <v>11.37</v>
      </c>
      <c r="C437" s="1">
        <f>IFERROR(__xludf.DUMMYFUNCTION("""COMPUTED_VALUE"""),11.81)</f>
        <v>11.81</v>
      </c>
      <c r="D437" s="1">
        <f>IFERROR(__xludf.DUMMYFUNCTION("""COMPUTED_VALUE"""),11.2)</f>
        <v>11.2</v>
      </c>
      <c r="E437" s="1">
        <f>IFERROR(__xludf.DUMMYFUNCTION("""COMPUTED_VALUE"""),11.57)</f>
        <v>11.57</v>
      </c>
      <c r="F437" s="1">
        <f>IFERROR(__xludf.DUMMYFUNCTION("""COMPUTED_VALUE"""),552917.0)</f>
        <v>552917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IFERROR(__xludf.DUMMYFUNCTION("""COMPUTED_VALUE"""),11.7)</f>
        <v>11.7</v>
      </c>
      <c r="C438" s="1">
        <f>IFERROR(__xludf.DUMMYFUNCTION("""COMPUTED_VALUE"""),11.94)</f>
        <v>11.94</v>
      </c>
      <c r="D438" s="1">
        <f>IFERROR(__xludf.DUMMYFUNCTION("""COMPUTED_VALUE"""),11.21)</f>
        <v>11.21</v>
      </c>
      <c r="E438" s="1">
        <f>IFERROR(__xludf.DUMMYFUNCTION("""COMPUTED_VALUE"""),11.91)</f>
        <v>11.91</v>
      </c>
      <c r="F438" s="1">
        <f>IFERROR(__xludf.DUMMYFUNCTION("""COMPUTED_VALUE"""),338190.0)</f>
        <v>338190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IFERROR(__xludf.DUMMYFUNCTION("""COMPUTED_VALUE"""),12.19)</f>
        <v>12.19</v>
      </c>
      <c r="C439" s="1">
        <f>IFERROR(__xludf.DUMMYFUNCTION("""COMPUTED_VALUE"""),12.56)</f>
        <v>12.56</v>
      </c>
      <c r="D439" s="1">
        <f>IFERROR(__xludf.DUMMYFUNCTION("""COMPUTED_VALUE"""),11.66)</f>
        <v>11.66</v>
      </c>
      <c r="E439" s="1">
        <f>IFERROR(__xludf.DUMMYFUNCTION("""COMPUTED_VALUE"""),11.9)</f>
        <v>11.9</v>
      </c>
      <c r="F439" s="1">
        <f>IFERROR(__xludf.DUMMYFUNCTION("""COMPUTED_VALUE"""),614982.0)</f>
        <v>614982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IFERROR(__xludf.DUMMYFUNCTION("""COMPUTED_VALUE"""),11.83)</f>
        <v>11.83</v>
      </c>
      <c r="C440" s="1">
        <f>IFERROR(__xludf.DUMMYFUNCTION("""COMPUTED_VALUE"""),12.06)</f>
        <v>12.06</v>
      </c>
      <c r="D440" s="1">
        <f>IFERROR(__xludf.DUMMYFUNCTION("""COMPUTED_VALUE"""),11.17)</f>
        <v>11.17</v>
      </c>
      <c r="E440" s="1">
        <f>IFERROR(__xludf.DUMMYFUNCTION("""COMPUTED_VALUE"""),11.19)</f>
        <v>11.19</v>
      </c>
      <c r="F440" s="1">
        <f>IFERROR(__xludf.DUMMYFUNCTION("""COMPUTED_VALUE"""),429007.0)</f>
        <v>429007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IFERROR(__xludf.DUMMYFUNCTION("""COMPUTED_VALUE"""),11.58)</f>
        <v>11.58</v>
      </c>
      <c r="C441" s="1">
        <f>IFERROR(__xludf.DUMMYFUNCTION("""COMPUTED_VALUE"""),12.01)</f>
        <v>12.01</v>
      </c>
      <c r="D441" s="1">
        <f>IFERROR(__xludf.DUMMYFUNCTION("""COMPUTED_VALUE"""),11.2)</f>
        <v>11.2</v>
      </c>
      <c r="E441" s="1">
        <f>IFERROR(__xludf.DUMMYFUNCTION("""COMPUTED_VALUE"""),12.0)</f>
        <v>12</v>
      </c>
      <c r="F441" s="1">
        <f>IFERROR(__xludf.DUMMYFUNCTION("""COMPUTED_VALUE"""),402477.0)</f>
        <v>402477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IFERROR(__xludf.DUMMYFUNCTION("""COMPUTED_VALUE"""),11.73)</f>
        <v>11.73</v>
      </c>
      <c r="C442" s="1">
        <f>IFERROR(__xludf.DUMMYFUNCTION("""COMPUTED_VALUE"""),11.96)</f>
        <v>11.96</v>
      </c>
      <c r="D442" s="1">
        <f>IFERROR(__xludf.DUMMYFUNCTION("""COMPUTED_VALUE"""),11.36)</f>
        <v>11.36</v>
      </c>
      <c r="E442" s="1">
        <f>IFERROR(__xludf.DUMMYFUNCTION("""COMPUTED_VALUE"""),11.38)</f>
        <v>11.38</v>
      </c>
      <c r="F442" s="1">
        <f>IFERROR(__xludf.DUMMYFUNCTION("""COMPUTED_VALUE"""),473659.0)</f>
        <v>473659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IFERROR(__xludf.DUMMYFUNCTION("""COMPUTED_VALUE"""),11.2)</f>
        <v>11.2</v>
      </c>
      <c r="C443" s="1">
        <f>IFERROR(__xludf.DUMMYFUNCTION("""COMPUTED_VALUE"""),11.51)</f>
        <v>11.51</v>
      </c>
      <c r="D443" s="1">
        <f>IFERROR(__xludf.DUMMYFUNCTION("""COMPUTED_VALUE"""),10.65)</f>
        <v>10.65</v>
      </c>
      <c r="E443" s="1">
        <f>IFERROR(__xludf.DUMMYFUNCTION("""COMPUTED_VALUE"""),10.69)</f>
        <v>10.69</v>
      </c>
      <c r="F443" s="1">
        <f>IFERROR(__xludf.DUMMYFUNCTION("""COMPUTED_VALUE"""),722346.0)</f>
        <v>722346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IFERROR(__xludf.DUMMYFUNCTION("""COMPUTED_VALUE"""),10.63)</f>
        <v>10.63</v>
      </c>
      <c r="C444" s="1">
        <f>IFERROR(__xludf.DUMMYFUNCTION("""COMPUTED_VALUE"""),11.91)</f>
        <v>11.91</v>
      </c>
      <c r="D444" s="1">
        <f>IFERROR(__xludf.DUMMYFUNCTION("""COMPUTED_VALUE"""),10.61)</f>
        <v>10.61</v>
      </c>
      <c r="E444" s="1">
        <f>IFERROR(__xludf.DUMMYFUNCTION("""COMPUTED_VALUE"""),11.9)</f>
        <v>11.9</v>
      </c>
      <c r="F444" s="1">
        <f>IFERROR(__xludf.DUMMYFUNCTION("""COMPUTED_VALUE"""),696758.0)</f>
        <v>696758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IFERROR(__xludf.DUMMYFUNCTION("""COMPUTED_VALUE"""),11.9)</f>
        <v>11.9</v>
      </c>
      <c r="C445" s="1">
        <f>IFERROR(__xludf.DUMMYFUNCTION("""COMPUTED_VALUE"""),12.37)</f>
        <v>12.37</v>
      </c>
      <c r="D445" s="1">
        <f>IFERROR(__xludf.DUMMYFUNCTION("""COMPUTED_VALUE"""),11.51)</f>
        <v>11.51</v>
      </c>
      <c r="E445" s="1">
        <f>IFERROR(__xludf.DUMMYFUNCTION("""COMPUTED_VALUE"""),12.13)</f>
        <v>12.13</v>
      </c>
      <c r="F445" s="1">
        <f>IFERROR(__xludf.DUMMYFUNCTION("""COMPUTED_VALUE"""),568586.0)</f>
        <v>568586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IFERROR(__xludf.DUMMYFUNCTION("""COMPUTED_VALUE"""),12.08)</f>
        <v>12.08</v>
      </c>
      <c r="C446" s="1">
        <f>IFERROR(__xludf.DUMMYFUNCTION("""COMPUTED_VALUE"""),12.6)</f>
        <v>12.6</v>
      </c>
      <c r="D446" s="1">
        <f>IFERROR(__xludf.DUMMYFUNCTION("""COMPUTED_VALUE"""),11.89)</f>
        <v>11.89</v>
      </c>
      <c r="E446" s="1">
        <f>IFERROR(__xludf.DUMMYFUNCTION("""COMPUTED_VALUE"""),12.57)</f>
        <v>12.57</v>
      </c>
      <c r="F446" s="1">
        <f>IFERROR(__xludf.DUMMYFUNCTION("""COMPUTED_VALUE"""),562413.0)</f>
        <v>562413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IFERROR(__xludf.DUMMYFUNCTION("""COMPUTED_VALUE"""),12.61)</f>
        <v>12.61</v>
      </c>
      <c r="C447" s="1">
        <f>IFERROR(__xludf.DUMMYFUNCTION("""COMPUTED_VALUE"""),12.67)</f>
        <v>12.67</v>
      </c>
      <c r="D447" s="1">
        <f>IFERROR(__xludf.DUMMYFUNCTION("""COMPUTED_VALUE"""),11.74)</f>
        <v>11.74</v>
      </c>
      <c r="E447" s="1">
        <f>IFERROR(__xludf.DUMMYFUNCTION("""COMPUTED_VALUE"""),11.79)</f>
        <v>11.79</v>
      </c>
      <c r="F447" s="1">
        <f>IFERROR(__xludf.DUMMYFUNCTION("""COMPUTED_VALUE"""),528594.0)</f>
        <v>528594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IFERROR(__xludf.DUMMYFUNCTION("""COMPUTED_VALUE"""),12.11)</f>
        <v>12.11</v>
      </c>
      <c r="C448" s="1">
        <f>IFERROR(__xludf.DUMMYFUNCTION("""COMPUTED_VALUE"""),12.68)</f>
        <v>12.68</v>
      </c>
      <c r="D448" s="1">
        <f>IFERROR(__xludf.DUMMYFUNCTION("""COMPUTED_VALUE"""),12.06)</f>
        <v>12.06</v>
      </c>
      <c r="E448" s="1">
        <f>IFERROR(__xludf.DUMMYFUNCTION("""COMPUTED_VALUE"""),12.65)</f>
        <v>12.65</v>
      </c>
      <c r="F448" s="1">
        <f>IFERROR(__xludf.DUMMYFUNCTION("""COMPUTED_VALUE"""),549213.0)</f>
        <v>549213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IFERROR(__xludf.DUMMYFUNCTION("""COMPUTED_VALUE"""),12.5)</f>
        <v>12.5</v>
      </c>
      <c r="C449" s="1">
        <f>IFERROR(__xludf.DUMMYFUNCTION("""COMPUTED_VALUE"""),12.95)</f>
        <v>12.95</v>
      </c>
      <c r="D449" s="1">
        <f>IFERROR(__xludf.DUMMYFUNCTION("""COMPUTED_VALUE"""),12.34)</f>
        <v>12.34</v>
      </c>
      <c r="E449" s="1">
        <f>IFERROR(__xludf.DUMMYFUNCTION("""COMPUTED_VALUE"""),12.85)</f>
        <v>12.85</v>
      </c>
      <c r="F449" s="1">
        <f>IFERROR(__xludf.DUMMYFUNCTION("""COMPUTED_VALUE"""),435194.0)</f>
        <v>435194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IFERROR(__xludf.DUMMYFUNCTION("""COMPUTED_VALUE"""),13.0)</f>
        <v>13</v>
      </c>
      <c r="C450" s="1">
        <f>IFERROR(__xludf.DUMMYFUNCTION("""COMPUTED_VALUE"""),13.25)</f>
        <v>13.25</v>
      </c>
      <c r="D450" s="1">
        <f>IFERROR(__xludf.DUMMYFUNCTION("""COMPUTED_VALUE"""),12.7)</f>
        <v>12.7</v>
      </c>
      <c r="E450" s="1">
        <f>IFERROR(__xludf.DUMMYFUNCTION("""COMPUTED_VALUE"""),13.01)</f>
        <v>13.01</v>
      </c>
      <c r="F450" s="1">
        <f>IFERROR(__xludf.DUMMYFUNCTION("""COMPUTED_VALUE"""),781047.0)</f>
        <v>781047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IFERROR(__xludf.DUMMYFUNCTION("""COMPUTED_VALUE"""),12.89)</f>
        <v>12.89</v>
      </c>
      <c r="C451" s="1">
        <f>IFERROR(__xludf.DUMMYFUNCTION("""COMPUTED_VALUE"""),13.04)</f>
        <v>13.04</v>
      </c>
      <c r="D451" s="1">
        <f>IFERROR(__xludf.DUMMYFUNCTION("""COMPUTED_VALUE"""),12.58)</f>
        <v>12.58</v>
      </c>
      <c r="E451" s="1">
        <f>IFERROR(__xludf.DUMMYFUNCTION("""COMPUTED_VALUE"""),12.95)</f>
        <v>12.95</v>
      </c>
      <c r="F451" s="1">
        <f>IFERROR(__xludf.DUMMYFUNCTION("""COMPUTED_VALUE"""),468170.0)</f>
        <v>468170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IFERROR(__xludf.DUMMYFUNCTION("""COMPUTED_VALUE"""),13.16)</f>
        <v>13.16</v>
      </c>
      <c r="C452" s="1">
        <f>IFERROR(__xludf.DUMMYFUNCTION("""COMPUTED_VALUE"""),13.26)</f>
        <v>13.26</v>
      </c>
      <c r="D452" s="1">
        <f>IFERROR(__xludf.DUMMYFUNCTION("""COMPUTED_VALUE"""),12.66)</f>
        <v>12.66</v>
      </c>
      <c r="E452" s="1">
        <f>IFERROR(__xludf.DUMMYFUNCTION("""COMPUTED_VALUE"""),13.06)</f>
        <v>13.06</v>
      </c>
      <c r="F452" s="1">
        <f>IFERROR(__xludf.DUMMYFUNCTION("""COMPUTED_VALUE"""),349914.0)</f>
        <v>349914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IFERROR(__xludf.DUMMYFUNCTION("""COMPUTED_VALUE"""),12.96)</f>
        <v>12.96</v>
      </c>
      <c r="C453" s="1">
        <f>IFERROR(__xludf.DUMMYFUNCTION("""COMPUTED_VALUE"""),13.12)</f>
        <v>13.12</v>
      </c>
      <c r="D453" s="1">
        <f>IFERROR(__xludf.DUMMYFUNCTION("""COMPUTED_VALUE"""),12.16)</f>
        <v>12.16</v>
      </c>
      <c r="E453" s="1">
        <f>IFERROR(__xludf.DUMMYFUNCTION("""COMPUTED_VALUE"""),12.25)</f>
        <v>12.25</v>
      </c>
      <c r="F453" s="1">
        <f>IFERROR(__xludf.DUMMYFUNCTION("""COMPUTED_VALUE"""),528987.0)</f>
        <v>528987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IFERROR(__xludf.DUMMYFUNCTION("""COMPUTED_VALUE"""),12.36)</f>
        <v>12.36</v>
      </c>
      <c r="C454" s="1">
        <f>IFERROR(__xludf.DUMMYFUNCTION("""COMPUTED_VALUE"""),13.08)</f>
        <v>13.08</v>
      </c>
      <c r="D454" s="1">
        <f>IFERROR(__xludf.DUMMYFUNCTION("""COMPUTED_VALUE"""),12.23)</f>
        <v>12.23</v>
      </c>
      <c r="E454" s="1">
        <f>IFERROR(__xludf.DUMMYFUNCTION("""COMPUTED_VALUE"""),13.0)</f>
        <v>13</v>
      </c>
      <c r="F454" s="1">
        <f>IFERROR(__xludf.DUMMYFUNCTION("""COMPUTED_VALUE"""),840213.0)</f>
        <v>840213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IFERROR(__xludf.DUMMYFUNCTION("""COMPUTED_VALUE"""),12.95)</f>
        <v>12.95</v>
      </c>
      <c r="C455" s="1">
        <f>IFERROR(__xludf.DUMMYFUNCTION("""COMPUTED_VALUE"""),13.15)</f>
        <v>13.15</v>
      </c>
      <c r="D455" s="1">
        <f>IFERROR(__xludf.DUMMYFUNCTION("""COMPUTED_VALUE"""),12.73)</f>
        <v>12.73</v>
      </c>
      <c r="E455" s="1">
        <f>IFERROR(__xludf.DUMMYFUNCTION("""COMPUTED_VALUE"""),12.79)</f>
        <v>12.79</v>
      </c>
      <c r="F455" s="1">
        <f>IFERROR(__xludf.DUMMYFUNCTION("""COMPUTED_VALUE"""),409738.0)</f>
        <v>409738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IFERROR(__xludf.DUMMYFUNCTION("""COMPUTED_VALUE"""),12.4)</f>
        <v>12.4</v>
      </c>
      <c r="C456" s="1">
        <f>IFERROR(__xludf.DUMMYFUNCTION("""COMPUTED_VALUE"""),12.98)</f>
        <v>12.98</v>
      </c>
      <c r="D456" s="1">
        <f>IFERROR(__xludf.DUMMYFUNCTION("""COMPUTED_VALUE"""),12.08)</f>
        <v>12.08</v>
      </c>
      <c r="E456" s="1">
        <f>IFERROR(__xludf.DUMMYFUNCTION("""COMPUTED_VALUE"""),12.56)</f>
        <v>12.56</v>
      </c>
      <c r="F456" s="1">
        <f>IFERROR(__xludf.DUMMYFUNCTION("""COMPUTED_VALUE"""),659136.0)</f>
        <v>659136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IFERROR(__xludf.DUMMYFUNCTION("""COMPUTED_VALUE"""),12.83)</f>
        <v>12.83</v>
      </c>
      <c r="C457" s="1">
        <f>IFERROR(__xludf.DUMMYFUNCTION("""COMPUTED_VALUE"""),13.16)</f>
        <v>13.16</v>
      </c>
      <c r="D457" s="1">
        <f>IFERROR(__xludf.DUMMYFUNCTION("""COMPUTED_VALUE"""),12.45)</f>
        <v>12.45</v>
      </c>
      <c r="E457" s="1">
        <f>IFERROR(__xludf.DUMMYFUNCTION("""COMPUTED_VALUE"""),12.82)</f>
        <v>12.82</v>
      </c>
      <c r="F457" s="1">
        <f>IFERROR(__xludf.DUMMYFUNCTION("""COMPUTED_VALUE"""),1435325.0)</f>
        <v>1435325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IFERROR(__xludf.DUMMYFUNCTION("""COMPUTED_VALUE"""),12.9)</f>
        <v>12.9</v>
      </c>
      <c r="C458" s="1">
        <f>IFERROR(__xludf.DUMMYFUNCTION("""COMPUTED_VALUE"""),13.56)</f>
        <v>13.56</v>
      </c>
      <c r="D458" s="1">
        <f>IFERROR(__xludf.DUMMYFUNCTION("""COMPUTED_VALUE"""),12.79)</f>
        <v>12.79</v>
      </c>
      <c r="E458" s="1">
        <f>IFERROR(__xludf.DUMMYFUNCTION("""COMPUTED_VALUE"""),13.55)</f>
        <v>13.55</v>
      </c>
      <c r="F458" s="1">
        <f>IFERROR(__xludf.DUMMYFUNCTION("""COMPUTED_VALUE"""),812773.0)</f>
        <v>812773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IFERROR(__xludf.DUMMYFUNCTION("""COMPUTED_VALUE"""),13.4)</f>
        <v>13.4</v>
      </c>
      <c r="C459" s="1">
        <f>IFERROR(__xludf.DUMMYFUNCTION("""COMPUTED_VALUE"""),13.67)</f>
        <v>13.67</v>
      </c>
      <c r="D459" s="1">
        <f>IFERROR(__xludf.DUMMYFUNCTION("""COMPUTED_VALUE"""),13.14)</f>
        <v>13.14</v>
      </c>
      <c r="E459" s="1">
        <f>IFERROR(__xludf.DUMMYFUNCTION("""COMPUTED_VALUE"""),13.25)</f>
        <v>13.25</v>
      </c>
      <c r="F459" s="1">
        <f>IFERROR(__xludf.DUMMYFUNCTION("""COMPUTED_VALUE"""),612267.0)</f>
        <v>612267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IFERROR(__xludf.DUMMYFUNCTION("""COMPUTED_VALUE"""),13.48)</f>
        <v>13.48</v>
      </c>
      <c r="C460" s="1">
        <f>IFERROR(__xludf.DUMMYFUNCTION("""COMPUTED_VALUE"""),13.91)</f>
        <v>13.91</v>
      </c>
      <c r="D460" s="1">
        <f>IFERROR(__xludf.DUMMYFUNCTION("""COMPUTED_VALUE"""),13.27)</f>
        <v>13.27</v>
      </c>
      <c r="E460" s="1">
        <f>IFERROR(__xludf.DUMMYFUNCTION("""COMPUTED_VALUE"""),13.79)</f>
        <v>13.79</v>
      </c>
      <c r="F460" s="1">
        <f>IFERROR(__xludf.DUMMYFUNCTION("""COMPUTED_VALUE"""),779912.0)</f>
        <v>779912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IFERROR(__xludf.DUMMYFUNCTION("""COMPUTED_VALUE"""),14.06)</f>
        <v>14.06</v>
      </c>
      <c r="C461" s="1">
        <f>IFERROR(__xludf.DUMMYFUNCTION("""COMPUTED_VALUE"""),15.28)</f>
        <v>15.28</v>
      </c>
      <c r="D461" s="1">
        <f>IFERROR(__xludf.DUMMYFUNCTION("""COMPUTED_VALUE"""),14.06)</f>
        <v>14.06</v>
      </c>
      <c r="E461" s="1">
        <f>IFERROR(__xludf.DUMMYFUNCTION("""COMPUTED_VALUE"""),15.02)</f>
        <v>15.02</v>
      </c>
      <c r="F461" s="1">
        <f>IFERROR(__xludf.DUMMYFUNCTION("""COMPUTED_VALUE"""),983804.0)</f>
        <v>983804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IFERROR(__xludf.DUMMYFUNCTION("""COMPUTED_VALUE"""),14.97)</f>
        <v>14.97</v>
      </c>
      <c r="C462" s="1">
        <f>IFERROR(__xludf.DUMMYFUNCTION("""COMPUTED_VALUE"""),15.24)</f>
        <v>15.24</v>
      </c>
      <c r="D462" s="1">
        <f>IFERROR(__xludf.DUMMYFUNCTION("""COMPUTED_VALUE"""),14.59)</f>
        <v>14.59</v>
      </c>
      <c r="E462" s="1">
        <f>IFERROR(__xludf.DUMMYFUNCTION("""COMPUTED_VALUE"""),14.66)</f>
        <v>14.66</v>
      </c>
      <c r="F462" s="1">
        <f>IFERROR(__xludf.DUMMYFUNCTION("""COMPUTED_VALUE"""),660164.0)</f>
        <v>660164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IFERROR(__xludf.DUMMYFUNCTION("""COMPUTED_VALUE"""),14.3)</f>
        <v>14.3</v>
      </c>
      <c r="C463" s="1">
        <f>IFERROR(__xludf.DUMMYFUNCTION("""COMPUTED_VALUE"""),14.6)</f>
        <v>14.6</v>
      </c>
      <c r="D463" s="1">
        <f>IFERROR(__xludf.DUMMYFUNCTION("""COMPUTED_VALUE"""),13.97)</f>
        <v>13.97</v>
      </c>
      <c r="E463" s="1">
        <f>IFERROR(__xludf.DUMMYFUNCTION("""COMPUTED_VALUE"""),13.99)</f>
        <v>13.99</v>
      </c>
      <c r="F463" s="1">
        <f>IFERROR(__xludf.DUMMYFUNCTION("""COMPUTED_VALUE"""),525139.0)</f>
        <v>525139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IFERROR(__xludf.DUMMYFUNCTION("""COMPUTED_VALUE"""),13.72)</f>
        <v>13.72</v>
      </c>
      <c r="C464" s="1">
        <f>IFERROR(__xludf.DUMMYFUNCTION("""COMPUTED_VALUE"""),14.02)</f>
        <v>14.02</v>
      </c>
      <c r="D464" s="1">
        <f>IFERROR(__xludf.DUMMYFUNCTION("""COMPUTED_VALUE"""),13.2)</f>
        <v>13.2</v>
      </c>
      <c r="E464" s="1">
        <f>IFERROR(__xludf.DUMMYFUNCTION("""COMPUTED_VALUE"""),13.26)</f>
        <v>13.26</v>
      </c>
      <c r="F464" s="1">
        <f>IFERROR(__xludf.DUMMYFUNCTION("""COMPUTED_VALUE"""),710984.0)</f>
        <v>710984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IFERROR(__xludf.DUMMYFUNCTION("""COMPUTED_VALUE"""),13.59)</f>
        <v>13.59</v>
      </c>
      <c r="C465" s="1">
        <f>IFERROR(__xludf.DUMMYFUNCTION("""COMPUTED_VALUE"""),14.05)</f>
        <v>14.05</v>
      </c>
      <c r="D465" s="1">
        <f>IFERROR(__xludf.DUMMYFUNCTION("""COMPUTED_VALUE"""),13.44)</f>
        <v>13.44</v>
      </c>
      <c r="E465" s="1">
        <f>IFERROR(__xludf.DUMMYFUNCTION("""COMPUTED_VALUE"""),13.89)</f>
        <v>13.89</v>
      </c>
      <c r="F465" s="1">
        <f>IFERROR(__xludf.DUMMYFUNCTION("""COMPUTED_VALUE"""),506992.0)</f>
        <v>506992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IFERROR(__xludf.DUMMYFUNCTION("""COMPUTED_VALUE"""),14.17)</f>
        <v>14.17</v>
      </c>
      <c r="C466" s="1">
        <f>IFERROR(__xludf.DUMMYFUNCTION("""COMPUTED_VALUE"""),14.3)</f>
        <v>14.3</v>
      </c>
      <c r="D466" s="1">
        <f>IFERROR(__xludf.DUMMYFUNCTION("""COMPUTED_VALUE"""),13.67)</f>
        <v>13.67</v>
      </c>
      <c r="E466" s="1">
        <f>IFERROR(__xludf.DUMMYFUNCTION("""COMPUTED_VALUE"""),14.12)</f>
        <v>14.12</v>
      </c>
      <c r="F466" s="1">
        <f>IFERROR(__xludf.DUMMYFUNCTION("""COMPUTED_VALUE"""),492061.0)</f>
        <v>492061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IFERROR(__xludf.DUMMYFUNCTION("""COMPUTED_VALUE"""),13.89)</f>
        <v>13.89</v>
      </c>
      <c r="C467" s="1">
        <f>IFERROR(__xludf.DUMMYFUNCTION("""COMPUTED_VALUE"""),14.08)</f>
        <v>14.08</v>
      </c>
      <c r="D467" s="1">
        <f>IFERROR(__xludf.DUMMYFUNCTION("""COMPUTED_VALUE"""),13.65)</f>
        <v>13.65</v>
      </c>
      <c r="E467" s="1">
        <f>IFERROR(__xludf.DUMMYFUNCTION("""COMPUTED_VALUE"""),13.85)</f>
        <v>13.85</v>
      </c>
      <c r="F467" s="1">
        <f>IFERROR(__xludf.DUMMYFUNCTION("""COMPUTED_VALUE"""),285706.0)</f>
        <v>285706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IFERROR(__xludf.DUMMYFUNCTION("""COMPUTED_VALUE"""),13.79)</f>
        <v>13.79</v>
      </c>
      <c r="C468" s="1">
        <f>IFERROR(__xludf.DUMMYFUNCTION("""COMPUTED_VALUE"""),13.98)</f>
        <v>13.98</v>
      </c>
      <c r="D468" s="1">
        <f>IFERROR(__xludf.DUMMYFUNCTION("""COMPUTED_VALUE"""),13.42)</f>
        <v>13.42</v>
      </c>
      <c r="E468" s="1">
        <f>IFERROR(__xludf.DUMMYFUNCTION("""COMPUTED_VALUE"""),13.93)</f>
        <v>13.93</v>
      </c>
      <c r="F468" s="1">
        <f>IFERROR(__xludf.DUMMYFUNCTION("""COMPUTED_VALUE"""),453757.0)</f>
        <v>453757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IFERROR(__xludf.DUMMYFUNCTION("""COMPUTED_VALUE"""),14.11)</f>
        <v>14.11</v>
      </c>
      <c r="C469" s="1">
        <f>IFERROR(__xludf.DUMMYFUNCTION("""COMPUTED_VALUE"""),14.34)</f>
        <v>14.34</v>
      </c>
      <c r="D469" s="1">
        <f>IFERROR(__xludf.DUMMYFUNCTION("""COMPUTED_VALUE"""),13.7)</f>
        <v>13.7</v>
      </c>
      <c r="E469" s="1">
        <f>IFERROR(__xludf.DUMMYFUNCTION("""COMPUTED_VALUE"""),14.26)</f>
        <v>14.26</v>
      </c>
      <c r="F469" s="1">
        <f>IFERROR(__xludf.DUMMYFUNCTION("""COMPUTED_VALUE"""),322329.0)</f>
        <v>322329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IFERROR(__xludf.DUMMYFUNCTION("""COMPUTED_VALUE"""),13.78)</f>
        <v>13.78</v>
      </c>
      <c r="C470" s="1">
        <f>IFERROR(__xludf.DUMMYFUNCTION("""COMPUTED_VALUE"""),14.1)</f>
        <v>14.1</v>
      </c>
      <c r="D470" s="1">
        <f>IFERROR(__xludf.DUMMYFUNCTION("""COMPUTED_VALUE"""),13.11)</f>
        <v>13.11</v>
      </c>
      <c r="E470" s="1">
        <f>IFERROR(__xludf.DUMMYFUNCTION("""COMPUTED_VALUE"""),13.15)</f>
        <v>13.15</v>
      </c>
      <c r="F470" s="1">
        <f>IFERROR(__xludf.DUMMYFUNCTION("""COMPUTED_VALUE"""),591566.0)</f>
        <v>591566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IFERROR(__xludf.DUMMYFUNCTION("""COMPUTED_VALUE"""),13.42)</f>
        <v>13.42</v>
      </c>
      <c r="C471" s="1">
        <f>IFERROR(__xludf.DUMMYFUNCTION("""COMPUTED_VALUE"""),13.54)</f>
        <v>13.54</v>
      </c>
      <c r="D471" s="1">
        <f>IFERROR(__xludf.DUMMYFUNCTION("""COMPUTED_VALUE"""),13.13)</f>
        <v>13.13</v>
      </c>
      <c r="E471" s="1">
        <f>IFERROR(__xludf.DUMMYFUNCTION("""COMPUTED_VALUE"""),13.34)</f>
        <v>13.34</v>
      </c>
      <c r="F471" s="1">
        <f>IFERROR(__xludf.DUMMYFUNCTION("""COMPUTED_VALUE"""),355147.0)</f>
        <v>355147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IFERROR(__xludf.DUMMYFUNCTION("""COMPUTED_VALUE"""),13.56)</f>
        <v>13.56</v>
      </c>
      <c r="C472" s="1">
        <f>IFERROR(__xludf.DUMMYFUNCTION("""COMPUTED_VALUE"""),13.84)</f>
        <v>13.84</v>
      </c>
      <c r="D472" s="1">
        <f>IFERROR(__xludf.DUMMYFUNCTION("""COMPUTED_VALUE"""),13.35)</f>
        <v>13.35</v>
      </c>
      <c r="E472" s="1">
        <f>IFERROR(__xludf.DUMMYFUNCTION("""COMPUTED_VALUE"""),13.68)</f>
        <v>13.68</v>
      </c>
      <c r="F472" s="1">
        <f>IFERROR(__xludf.DUMMYFUNCTION("""COMPUTED_VALUE"""),304834.0)</f>
        <v>304834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IFERROR(__xludf.DUMMYFUNCTION("""COMPUTED_VALUE"""),13.56)</f>
        <v>13.56</v>
      </c>
      <c r="C473" s="1">
        <f>IFERROR(__xludf.DUMMYFUNCTION("""COMPUTED_VALUE"""),13.59)</f>
        <v>13.59</v>
      </c>
      <c r="D473" s="1">
        <f>IFERROR(__xludf.DUMMYFUNCTION("""COMPUTED_VALUE"""),13.0)</f>
        <v>13</v>
      </c>
      <c r="E473" s="1">
        <f>IFERROR(__xludf.DUMMYFUNCTION("""COMPUTED_VALUE"""),13.2)</f>
        <v>13.2</v>
      </c>
      <c r="F473" s="1">
        <f>IFERROR(__xludf.DUMMYFUNCTION("""COMPUTED_VALUE"""),334177.0)</f>
        <v>334177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IFERROR(__xludf.DUMMYFUNCTION("""COMPUTED_VALUE"""),13.08)</f>
        <v>13.08</v>
      </c>
      <c r="C474" s="1">
        <f>IFERROR(__xludf.DUMMYFUNCTION("""COMPUTED_VALUE"""),13.52)</f>
        <v>13.52</v>
      </c>
      <c r="D474" s="1">
        <f>IFERROR(__xludf.DUMMYFUNCTION("""COMPUTED_VALUE"""),13.0)</f>
        <v>13</v>
      </c>
      <c r="E474" s="1">
        <f>IFERROR(__xludf.DUMMYFUNCTION("""COMPUTED_VALUE"""),13.45)</f>
        <v>13.45</v>
      </c>
      <c r="F474" s="1">
        <f>IFERROR(__xludf.DUMMYFUNCTION("""COMPUTED_VALUE"""),312729.0)</f>
        <v>312729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IFERROR(__xludf.DUMMYFUNCTION("""COMPUTED_VALUE"""),13.24)</f>
        <v>13.24</v>
      </c>
      <c r="C475" s="1">
        <f>IFERROR(__xludf.DUMMYFUNCTION("""COMPUTED_VALUE"""),13.51)</f>
        <v>13.51</v>
      </c>
      <c r="D475" s="1">
        <f>IFERROR(__xludf.DUMMYFUNCTION("""COMPUTED_VALUE"""),13.07)</f>
        <v>13.07</v>
      </c>
      <c r="E475" s="1">
        <f>IFERROR(__xludf.DUMMYFUNCTION("""COMPUTED_VALUE"""),13.09)</f>
        <v>13.09</v>
      </c>
      <c r="F475" s="1">
        <f>IFERROR(__xludf.DUMMYFUNCTION("""COMPUTED_VALUE"""),422461.0)</f>
        <v>422461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IFERROR(__xludf.DUMMYFUNCTION("""COMPUTED_VALUE"""),13.12)</f>
        <v>13.12</v>
      </c>
      <c r="C476" s="1">
        <f>IFERROR(__xludf.DUMMYFUNCTION("""COMPUTED_VALUE"""),13.24)</f>
        <v>13.24</v>
      </c>
      <c r="D476" s="1">
        <f>IFERROR(__xludf.DUMMYFUNCTION("""COMPUTED_VALUE"""),12.75)</f>
        <v>12.75</v>
      </c>
      <c r="E476" s="1">
        <f>IFERROR(__xludf.DUMMYFUNCTION("""COMPUTED_VALUE"""),12.81)</f>
        <v>12.81</v>
      </c>
      <c r="F476" s="1">
        <f>IFERROR(__xludf.DUMMYFUNCTION("""COMPUTED_VALUE"""),573432.0)</f>
        <v>573432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IFERROR(__xludf.DUMMYFUNCTION("""COMPUTED_VALUE"""),12.84)</f>
        <v>12.84</v>
      </c>
      <c r="C477" s="1">
        <f>IFERROR(__xludf.DUMMYFUNCTION("""COMPUTED_VALUE"""),13.04)</f>
        <v>13.04</v>
      </c>
      <c r="D477" s="1">
        <f>IFERROR(__xludf.DUMMYFUNCTION("""COMPUTED_VALUE"""),12.52)</f>
        <v>12.52</v>
      </c>
      <c r="E477" s="1">
        <f>IFERROR(__xludf.DUMMYFUNCTION("""COMPUTED_VALUE"""),12.89)</f>
        <v>12.89</v>
      </c>
      <c r="F477" s="1">
        <f>IFERROR(__xludf.DUMMYFUNCTION("""COMPUTED_VALUE"""),855292.0)</f>
        <v>855292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IFERROR(__xludf.DUMMYFUNCTION("""COMPUTED_VALUE"""),12.62)</f>
        <v>12.62</v>
      </c>
      <c r="C478" s="1">
        <f>IFERROR(__xludf.DUMMYFUNCTION("""COMPUTED_VALUE"""),12.83)</f>
        <v>12.83</v>
      </c>
      <c r="D478" s="1">
        <f>IFERROR(__xludf.DUMMYFUNCTION("""COMPUTED_VALUE"""),12.25)</f>
        <v>12.25</v>
      </c>
      <c r="E478" s="1">
        <f>IFERROR(__xludf.DUMMYFUNCTION("""COMPUTED_VALUE"""),12.45)</f>
        <v>12.45</v>
      </c>
      <c r="F478" s="1">
        <f>IFERROR(__xludf.DUMMYFUNCTION("""COMPUTED_VALUE"""),468298.0)</f>
        <v>468298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IFERROR(__xludf.DUMMYFUNCTION("""COMPUTED_VALUE"""),12.43)</f>
        <v>12.43</v>
      </c>
      <c r="C479" s="1">
        <f>IFERROR(__xludf.DUMMYFUNCTION("""COMPUTED_VALUE"""),12.57)</f>
        <v>12.57</v>
      </c>
      <c r="D479" s="1">
        <f>IFERROR(__xludf.DUMMYFUNCTION("""COMPUTED_VALUE"""),12.28)</f>
        <v>12.28</v>
      </c>
      <c r="E479" s="1">
        <f>IFERROR(__xludf.DUMMYFUNCTION("""COMPUTED_VALUE"""),12.5)</f>
        <v>12.5</v>
      </c>
      <c r="F479" s="1">
        <f>IFERROR(__xludf.DUMMYFUNCTION("""COMPUTED_VALUE"""),451481.0)</f>
        <v>451481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IFERROR(__xludf.DUMMYFUNCTION("""COMPUTED_VALUE"""),12.42)</f>
        <v>12.42</v>
      </c>
      <c r="C480" s="1">
        <f>IFERROR(__xludf.DUMMYFUNCTION("""COMPUTED_VALUE"""),12.9)</f>
        <v>12.9</v>
      </c>
      <c r="D480" s="1">
        <f>IFERROR(__xludf.DUMMYFUNCTION("""COMPUTED_VALUE"""),12.11)</f>
        <v>12.11</v>
      </c>
      <c r="E480" s="1">
        <f>IFERROR(__xludf.DUMMYFUNCTION("""COMPUTED_VALUE"""),12.14)</f>
        <v>12.14</v>
      </c>
      <c r="F480" s="1">
        <f>IFERROR(__xludf.DUMMYFUNCTION("""COMPUTED_VALUE"""),583398.0)</f>
        <v>583398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IFERROR(__xludf.DUMMYFUNCTION("""COMPUTED_VALUE"""),12.08)</f>
        <v>12.08</v>
      </c>
      <c r="C481" s="1">
        <f>IFERROR(__xludf.DUMMYFUNCTION("""COMPUTED_VALUE"""),12.37)</f>
        <v>12.37</v>
      </c>
      <c r="D481" s="1">
        <f>IFERROR(__xludf.DUMMYFUNCTION("""COMPUTED_VALUE"""),11.9)</f>
        <v>11.9</v>
      </c>
      <c r="E481" s="1">
        <f>IFERROR(__xludf.DUMMYFUNCTION("""COMPUTED_VALUE"""),11.9)</f>
        <v>11.9</v>
      </c>
      <c r="F481" s="1">
        <f>IFERROR(__xludf.DUMMYFUNCTION("""COMPUTED_VALUE"""),204083.0)</f>
        <v>204083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IFERROR(__xludf.DUMMYFUNCTION("""COMPUTED_VALUE"""),12.44)</f>
        <v>12.44</v>
      </c>
      <c r="C482" s="1">
        <f>IFERROR(__xludf.DUMMYFUNCTION("""COMPUTED_VALUE"""),12.72)</f>
        <v>12.72</v>
      </c>
      <c r="D482" s="1">
        <f>IFERROR(__xludf.DUMMYFUNCTION("""COMPUTED_VALUE"""),12.28)</f>
        <v>12.28</v>
      </c>
      <c r="E482" s="1">
        <f>IFERROR(__xludf.DUMMYFUNCTION("""COMPUTED_VALUE"""),12.54)</f>
        <v>12.54</v>
      </c>
      <c r="F482" s="1">
        <f>IFERROR(__xludf.DUMMYFUNCTION("""COMPUTED_VALUE"""),517270.0)</f>
        <v>517270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IFERROR(__xludf.DUMMYFUNCTION("""COMPUTED_VALUE"""),12.56)</f>
        <v>12.56</v>
      </c>
      <c r="C483" s="1">
        <f>IFERROR(__xludf.DUMMYFUNCTION("""COMPUTED_VALUE"""),12.73)</f>
        <v>12.73</v>
      </c>
      <c r="D483" s="1">
        <f>IFERROR(__xludf.DUMMYFUNCTION("""COMPUTED_VALUE"""),12.38)</f>
        <v>12.38</v>
      </c>
      <c r="E483" s="1">
        <f>IFERROR(__xludf.DUMMYFUNCTION("""COMPUTED_VALUE"""),12.46)</f>
        <v>12.46</v>
      </c>
      <c r="F483" s="1">
        <f>IFERROR(__xludf.DUMMYFUNCTION("""COMPUTED_VALUE"""),271980.0)</f>
        <v>271980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IFERROR(__xludf.DUMMYFUNCTION("""COMPUTED_VALUE"""),12.99)</f>
        <v>12.99</v>
      </c>
      <c r="C484" s="1">
        <f>IFERROR(__xludf.DUMMYFUNCTION("""COMPUTED_VALUE"""),13.89)</f>
        <v>13.89</v>
      </c>
      <c r="D484" s="1">
        <f>IFERROR(__xludf.DUMMYFUNCTION("""COMPUTED_VALUE"""),12.66)</f>
        <v>12.66</v>
      </c>
      <c r="E484" s="1">
        <f>IFERROR(__xludf.DUMMYFUNCTION("""COMPUTED_VALUE"""),13.87)</f>
        <v>13.87</v>
      </c>
      <c r="F484" s="1">
        <f>IFERROR(__xludf.DUMMYFUNCTION("""COMPUTED_VALUE"""),859015.0)</f>
        <v>859015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IFERROR(__xludf.DUMMYFUNCTION("""COMPUTED_VALUE"""),13.86)</f>
        <v>13.86</v>
      </c>
      <c r="C485" s="1">
        <f>IFERROR(__xludf.DUMMYFUNCTION("""COMPUTED_VALUE"""),13.91)</f>
        <v>13.91</v>
      </c>
      <c r="D485" s="1">
        <f>IFERROR(__xludf.DUMMYFUNCTION("""COMPUTED_VALUE"""),13.53)</f>
        <v>13.53</v>
      </c>
      <c r="E485" s="1">
        <f>IFERROR(__xludf.DUMMYFUNCTION("""COMPUTED_VALUE"""),13.6)</f>
        <v>13.6</v>
      </c>
      <c r="F485" s="1">
        <f>IFERROR(__xludf.DUMMYFUNCTION("""COMPUTED_VALUE"""),421850.0)</f>
        <v>421850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IFERROR(__xludf.DUMMYFUNCTION("""COMPUTED_VALUE"""),13.81)</f>
        <v>13.81</v>
      </c>
      <c r="C486" s="1">
        <f>IFERROR(__xludf.DUMMYFUNCTION("""COMPUTED_VALUE"""),14.17)</f>
        <v>14.17</v>
      </c>
      <c r="D486" s="1">
        <f>IFERROR(__xludf.DUMMYFUNCTION("""COMPUTED_VALUE"""),13.7)</f>
        <v>13.7</v>
      </c>
      <c r="E486" s="1">
        <f>IFERROR(__xludf.DUMMYFUNCTION("""COMPUTED_VALUE"""),13.77)</f>
        <v>13.77</v>
      </c>
      <c r="F486" s="1">
        <f>IFERROR(__xludf.DUMMYFUNCTION("""COMPUTED_VALUE"""),301781.0)</f>
        <v>301781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IFERROR(__xludf.DUMMYFUNCTION("""COMPUTED_VALUE"""),14.1)</f>
        <v>14.1</v>
      </c>
      <c r="C487" s="1">
        <f>IFERROR(__xludf.DUMMYFUNCTION("""COMPUTED_VALUE"""),14.36)</f>
        <v>14.36</v>
      </c>
      <c r="D487" s="1">
        <f>IFERROR(__xludf.DUMMYFUNCTION("""COMPUTED_VALUE"""),13.91)</f>
        <v>13.91</v>
      </c>
      <c r="E487" s="1">
        <f>IFERROR(__xludf.DUMMYFUNCTION("""COMPUTED_VALUE"""),14.19)</f>
        <v>14.19</v>
      </c>
      <c r="F487" s="1">
        <f>IFERROR(__xludf.DUMMYFUNCTION("""COMPUTED_VALUE"""),325502.0)</f>
        <v>325502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IFERROR(__xludf.DUMMYFUNCTION("""COMPUTED_VALUE"""),14.16)</f>
        <v>14.16</v>
      </c>
      <c r="C488" s="1">
        <f>IFERROR(__xludf.DUMMYFUNCTION("""COMPUTED_VALUE"""),14.65)</f>
        <v>14.65</v>
      </c>
      <c r="D488" s="1">
        <f>IFERROR(__xludf.DUMMYFUNCTION("""COMPUTED_VALUE"""),13.86)</f>
        <v>13.86</v>
      </c>
      <c r="E488" s="1">
        <f>IFERROR(__xludf.DUMMYFUNCTION("""COMPUTED_VALUE"""),14.52)</f>
        <v>14.52</v>
      </c>
      <c r="F488" s="1">
        <f>IFERROR(__xludf.DUMMYFUNCTION("""COMPUTED_VALUE"""),599072.0)</f>
        <v>599072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IFERROR(__xludf.DUMMYFUNCTION("""COMPUTED_VALUE"""),14.37)</f>
        <v>14.37</v>
      </c>
      <c r="C489" s="1">
        <f>IFERROR(__xludf.DUMMYFUNCTION("""COMPUTED_VALUE"""),14.47)</f>
        <v>14.47</v>
      </c>
      <c r="D489" s="1">
        <f>IFERROR(__xludf.DUMMYFUNCTION("""COMPUTED_VALUE"""),13.83)</f>
        <v>13.83</v>
      </c>
      <c r="E489" s="1">
        <f>IFERROR(__xludf.DUMMYFUNCTION("""COMPUTED_VALUE"""),14.31)</f>
        <v>14.31</v>
      </c>
      <c r="F489" s="1">
        <f>IFERROR(__xludf.DUMMYFUNCTION("""COMPUTED_VALUE"""),488517.0)</f>
        <v>488517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IFERROR(__xludf.DUMMYFUNCTION("""COMPUTED_VALUE"""),14.09)</f>
        <v>14.09</v>
      </c>
      <c r="C490" s="1">
        <f>IFERROR(__xludf.DUMMYFUNCTION("""COMPUTED_VALUE"""),14.14)</f>
        <v>14.14</v>
      </c>
      <c r="D490" s="1">
        <f>IFERROR(__xludf.DUMMYFUNCTION("""COMPUTED_VALUE"""),13.42)</f>
        <v>13.42</v>
      </c>
      <c r="E490" s="1">
        <f>IFERROR(__xludf.DUMMYFUNCTION("""COMPUTED_VALUE"""),13.46)</f>
        <v>13.46</v>
      </c>
      <c r="F490" s="1">
        <f>IFERROR(__xludf.DUMMYFUNCTION("""COMPUTED_VALUE"""),503737.0)</f>
        <v>503737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IFERROR(__xludf.DUMMYFUNCTION("""COMPUTED_VALUE"""),13.56)</f>
        <v>13.56</v>
      </c>
      <c r="C491" s="1">
        <f>IFERROR(__xludf.DUMMYFUNCTION("""COMPUTED_VALUE"""),14.05)</f>
        <v>14.05</v>
      </c>
      <c r="D491" s="1">
        <f>IFERROR(__xludf.DUMMYFUNCTION("""COMPUTED_VALUE"""),13.26)</f>
        <v>13.26</v>
      </c>
      <c r="E491" s="1">
        <f>IFERROR(__xludf.DUMMYFUNCTION("""COMPUTED_VALUE"""),13.96)</f>
        <v>13.96</v>
      </c>
      <c r="F491" s="1">
        <f>IFERROR(__xludf.DUMMYFUNCTION("""COMPUTED_VALUE"""),442393.0)</f>
        <v>442393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IFERROR(__xludf.DUMMYFUNCTION("""COMPUTED_VALUE"""),13.66)</f>
        <v>13.66</v>
      </c>
      <c r="C492" s="1">
        <f>IFERROR(__xludf.DUMMYFUNCTION("""COMPUTED_VALUE"""),13.74)</f>
        <v>13.74</v>
      </c>
      <c r="D492" s="1">
        <f>IFERROR(__xludf.DUMMYFUNCTION("""COMPUTED_VALUE"""),13.34)</f>
        <v>13.34</v>
      </c>
      <c r="E492" s="1">
        <f>IFERROR(__xludf.DUMMYFUNCTION("""COMPUTED_VALUE"""),13.53)</f>
        <v>13.53</v>
      </c>
      <c r="F492" s="1">
        <f>IFERROR(__xludf.DUMMYFUNCTION("""COMPUTED_VALUE"""),349793.0)</f>
        <v>349793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IFERROR(__xludf.DUMMYFUNCTION("""COMPUTED_VALUE"""),13.72)</f>
        <v>13.72</v>
      </c>
      <c r="C493" s="1">
        <f>IFERROR(__xludf.DUMMYFUNCTION("""COMPUTED_VALUE"""),13.78)</f>
        <v>13.78</v>
      </c>
      <c r="D493" s="1">
        <f>IFERROR(__xludf.DUMMYFUNCTION("""COMPUTED_VALUE"""),13.2)</f>
        <v>13.2</v>
      </c>
      <c r="E493" s="1">
        <f>IFERROR(__xludf.DUMMYFUNCTION("""COMPUTED_VALUE"""),13.36)</f>
        <v>13.36</v>
      </c>
      <c r="F493" s="1">
        <f>IFERROR(__xludf.DUMMYFUNCTION("""COMPUTED_VALUE"""),446827.0)</f>
        <v>446827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IFERROR(__xludf.DUMMYFUNCTION("""COMPUTED_VALUE"""),13.23)</f>
        <v>13.23</v>
      </c>
      <c r="C494" s="1">
        <f>IFERROR(__xludf.DUMMYFUNCTION("""COMPUTED_VALUE"""),13.61)</f>
        <v>13.61</v>
      </c>
      <c r="D494" s="1">
        <f>IFERROR(__xludf.DUMMYFUNCTION("""COMPUTED_VALUE"""),13.2)</f>
        <v>13.2</v>
      </c>
      <c r="E494" s="1">
        <f>IFERROR(__xludf.DUMMYFUNCTION("""COMPUTED_VALUE"""),13.35)</f>
        <v>13.35</v>
      </c>
      <c r="F494" s="1">
        <f>IFERROR(__xludf.DUMMYFUNCTION("""COMPUTED_VALUE"""),432564.0)</f>
        <v>432564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IFERROR(__xludf.DUMMYFUNCTION("""COMPUTED_VALUE"""),13.62)</f>
        <v>13.62</v>
      </c>
      <c r="C495" s="1">
        <f>IFERROR(__xludf.DUMMYFUNCTION("""COMPUTED_VALUE"""),13.75)</f>
        <v>13.75</v>
      </c>
      <c r="D495" s="1">
        <f>IFERROR(__xludf.DUMMYFUNCTION("""COMPUTED_VALUE"""),13.42)</f>
        <v>13.42</v>
      </c>
      <c r="E495" s="1">
        <f>IFERROR(__xludf.DUMMYFUNCTION("""COMPUTED_VALUE"""),13.69)</f>
        <v>13.69</v>
      </c>
      <c r="F495" s="1">
        <f>IFERROR(__xludf.DUMMYFUNCTION("""COMPUTED_VALUE"""),322186.0)</f>
        <v>322186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IFERROR(__xludf.DUMMYFUNCTION("""COMPUTED_VALUE"""),13.76)</f>
        <v>13.76</v>
      </c>
      <c r="C496" s="1">
        <f>IFERROR(__xludf.DUMMYFUNCTION("""COMPUTED_VALUE"""),14.21)</f>
        <v>14.21</v>
      </c>
      <c r="D496" s="1">
        <f>IFERROR(__xludf.DUMMYFUNCTION("""COMPUTED_VALUE"""),13.59)</f>
        <v>13.59</v>
      </c>
      <c r="E496" s="1">
        <f>IFERROR(__xludf.DUMMYFUNCTION("""COMPUTED_VALUE"""),13.95)</f>
        <v>13.95</v>
      </c>
      <c r="F496" s="1">
        <f>IFERROR(__xludf.DUMMYFUNCTION("""COMPUTED_VALUE"""),1196117.0)</f>
        <v>1196117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IFERROR(__xludf.DUMMYFUNCTION("""COMPUTED_VALUE"""),14.04)</f>
        <v>14.04</v>
      </c>
      <c r="C497" s="1">
        <f>IFERROR(__xludf.DUMMYFUNCTION("""COMPUTED_VALUE"""),14.19)</f>
        <v>14.19</v>
      </c>
      <c r="D497" s="1">
        <f>IFERROR(__xludf.DUMMYFUNCTION("""COMPUTED_VALUE"""),13.48)</f>
        <v>13.48</v>
      </c>
      <c r="E497" s="1">
        <f>IFERROR(__xludf.DUMMYFUNCTION("""COMPUTED_VALUE"""),13.68)</f>
        <v>13.68</v>
      </c>
      <c r="F497" s="1">
        <f>IFERROR(__xludf.DUMMYFUNCTION("""COMPUTED_VALUE"""),411305.0)</f>
        <v>411305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IFERROR(__xludf.DUMMYFUNCTION("""COMPUTED_VALUE"""),14.05)</f>
        <v>14.05</v>
      </c>
      <c r="C498" s="1">
        <f>IFERROR(__xludf.DUMMYFUNCTION("""COMPUTED_VALUE"""),14.46)</f>
        <v>14.46</v>
      </c>
      <c r="D498" s="1">
        <f>IFERROR(__xludf.DUMMYFUNCTION("""COMPUTED_VALUE"""),13.97)</f>
        <v>13.97</v>
      </c>
      <c r="E498" s="1">
        <f>IFERROR(__xludf.DUMMYFUNCTION("""COMPUTED_VALUE"""),14.42)</f>
        <v>14.42</v>
      </c>
      <c r="F498" s="1">
        <f>IFERROR(__xludf.DUMMYFUNCTION("""COMPUTED_VALUE"""),458295.0)</f>
        <v>458295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IFERROR(__xludf.DUMMYFUNCTION("""COMPUTED_VALUE"""),14.42)</f>
        <v>14.42</v>
      </c>
      <c r="C499" s="1">
        <f>IFERROR(__xludf.DUMMYFUNCTION("""COMPUTED_VALUE"""),14.68)</f>
        <v>14.68</v>
      </c>
      <c r="D499" s="1">
        <f>IFERROR(__xludf.DUMMYFUNCTION("""COMPUTED_VALUE"""),14.12)</f>
        <v>14.12</v>
      </c>
      <c r="E499" s="1">
        <f>IFERROR(__xludf.DUMMYFUNCTION("""COMPUTED_VALUE"""),14.65)</f>
        <v>14.65</v>
      </c>
      <c r="F499" s="1">
        <f>IFERROR(__xludf.DUMMYFUNCTION("""COMPUTED_VALUE"""),292483.0)</f>
        <v>292483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IFERROR(__xludf.DUMMYFUNCTION("""COMPUTED_VALUE"""),14.67)</f>
        <v>14.67</v>
      </c>
      <c r="C500" s="1">
        <f>IFERROR(__xludf.DUMMYFUNCTION("""COMPUTED_VALUE"""),15.12)</f>
        <v>15.12</v>
      </c>
      <c r="D500" s="1">
        <f>IFERROR(__xludf.DUMMYFUNCTION("""COMPUTED_VALUE"""),14.56)</f>
        <v>14.56</v>
      </c>
      <c r="E500" s="1">
        <f>IFERROR(__xludf.DUMMYFUNCTION("""COMPUTED_VALUE"""),14.87)</f>
        <v>14.87</v>
      </c>
      <c r="F500" s="1">
        <f>IFERROR(__xludf.DUMMYFUNCTION("""COMPUTED_VALUE"""),352736.0)</f>
        <v>352736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IFERROR(__xludf.DUMMYFUNCTION("""COMPUTED_VALUE"""),14.96)</f>
        <v>14.96</v>
      </c>
      <c r="C501" s="1">
        <f>IFERROR(__xludf.DUMMYFUNCTION("""COMPUTED_VALUE"""),15.05)</f>
        <v>15.05</v>
      </c>
      <c r="D501" s="1">
        <f>IFERROR(__xludf.DUMMYFUNCTION("""COMPUTED_VALUE"""),14.69)</f>
        <v>14.69</v>
      </c>
      <c r="E501" s="1">
        <f>IFERROR(__xludf.DUMMYFUNCTION("""COMPUTED_VALUE"""),14.85)</f>
        <v>14.85</v>
      </c>
      <c r="F501" s="1">
        <f>IFERROR(__xludf.DUMMYFUNCTION("""COMPUTED_VALUE"""),127680.0)</f>
        <v>127680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IFERROR(__xludf.DUMMYFUNCTION("""COMPUTED_VALUE"""),14.75)</f>
        <v>14.75</v>
      </c>
      <c r="C502" s="1">
        <f>IFERROR(__xludf.DUMMYFUNCTION("""COMPUTED_VALUE"""),15.06)</f>
        <v>15.06</v>
      </c>
      <c r="D502" s="1">
        <f>IFERROR(__xludf.DUMMYFUNCTION("""COMPUTED_VALUE"""),14.5)</f>
        <v>14.5</v>
      </c>
      <c r="E502" s="1">
        <f>IFERROR(__xludf.DUMMYFUNCTION("""COMPUTED_VALUE"""),15.01)</f>
        <v>15.01</v>
      </c>
      <c r="F502" s="1">
        <f>IFERROR(__xludf.DUMMYFUNCTION("""COMPUTED_VALUE"""),219277.0)</f>
        <v>219277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IFERROR(__xludf.DUMMYFUNCTION("""COMPUTED_VALUE"""),15.0)</f>
        <v>15</v>
      </c>
      <c r="C503" s="1">
        <f>IFERROR(__xludf.DUMMYFUNCTION("""COMPUTED_VALUE"""),15.0)</f>
        <v>15</v>
      </c>
      <c r="D503" s="1">
        <f>IFERROR(__xludf.DUMMYFUNCTION("""COMPUTED_VALUE"""),14.47)</f>
        <v>14.47</v>
      </c>
      <c r="E503" s="1">
        <f>IFERROR(__xludf.DUMMYFUNCTION("""COMPUTED_VALUE"""),14.57)</f>
        <v>14.57</v>
      </c>
      <c r="F503" s="1">
        <f>IFERROR(__xludf.DUMMYFUNCTION("""COMPUTED_VALUE"""),224765.0)</f>
        <v>224765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IFERROR(__xludf.DUMMYFUNCTION("""COMPUTED_VALUE"""),14.64)</f>
        <v>14.64</v>
      </c>
      <c r="C504" s="1">
        <f>IFERROR(__xludf.DUMMYFUNCTION("""COMPUTED_VALUE"""),15.2)</f>
        <v>15.2</v>
      </c>
      <c r="D504" s="1">
        <f>IFERROR(__xludf.DUMMYFUNCTION("""COMPUTED_VALUE"""),14.5)</f>
        <v>14.5</v>
      </c>
      <c r="E504" s="1">
        <f>IFERROR(__xludf.DUMMYFUNCTION("""COMPUTED_VALUE"""),15.19)</f>
        <v>15.19</v>
      </c>
      <c r="F504" s="1">
        <f>IFERROR(__xludf.DUMMYFUNCTION("""COMPUTED_VALUE"""),304857.0)</f>
        <v>304857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IFERROR(__xludf.DUMMYFUNCTION("""COMPUTED_VALUE"""),15.12)</f>
        <v>15.12</v>
      </c>
      <c r="C505" s="1">
        <f>IFERROR(__xludf.DUMMYFUNCTION("""COMPUTED_VALUE"""),15.17)</f>
        <v>15.17</v>
      </c>
      <c r="D505" s="1">
        <f>IFERROR(__xludf.DUMMYFUNCTION("""COMPUTED_VALUE"""),14.86)</f>
        <v>14.86</v>
      </c>
      <c r="E505" s="1">
        <f>IFERROR(__xludf.DUMMYFUNCTION("""COMPUTED_VALUE"""),14.93)</f>
        <v>14.93</v>
      </c>
      <c r="F505" s="1">
        <f>IFERROR(__xludf.DUMMYFUNCTION("""COMPUTED_VALUE"""),364467.0)</f>
        <v>364467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IFERROR(__xludf.DUMMYFUNCTION("""COMPUTED_VALUE"""),15.39)</f>
        <v>15.39</v>
      </c>
      <c r="C506" s="1">
        <f>IFERROR(__xludf.DUMMYFUNCTION("""COMPUTED_VALUE"""),15.47)</f>
        <v>15.47</v>
      </c>
      <c r="D506" s="1">
        <f>IFERROR(__xludf.DUMMYFUNCTION("""COMPUTED_VALUE"""),15.0)</f>
        <v>15</v>
      </c>
      <c r="E506" s="1">
        <f>IFERROR(__xludf.DUMMYFUNCTION("""COMPUTED_VALUE"""),15.37)</f>
        <v>15.37</v>
      </c>
      <c r="F506" s="1">
        <f>IFERROR(__xludf.DUMMYFUNCTION("""COMPUTED_VALUE"""),528557.0)</f>
        <v>528557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IFERROR(__xludf.DUMMYFUNCTION("""COMPUTED_VALUE"""),15.19)</f>
        <v>15.19</v>
      </c>
      <c r="C507" s="1">
        <f>IFERROR(__xludf.DUMMYFUNCTION("""COMPUTED_VALUE"""),15.41)</f>
        <v>15.41</v>
      </c>
      <c r="D507" s="1">
        <f>IFERROR(__xludf.DUMMYFUNCTION("""COMPUTED_VALUE"""),15.07)</f>
        <v>15.07</v>
      </c>
      <c r="E507" s="1">
        <f>IFERROR(__xludf.DUMMYFUNCTION("""COMPUTED_VALUE"""),15.26)</f>
        <v>15.26</v>
      </c>
      <c r="F507" s="1">
        <f>IFERROR(__xludf.DUMMYFUNCTION("""COMPUTED_VALUE"""),374591.0)</f>
        <v>374591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IFERROR(__xludf.DUMMYFUNCTION("""COMPUTED_VALUE"""),15.12)</f>
        <v>15.12</v>
      </c>
      <c r="C508" s="1">
        <f>IFERROR(__xludf.DUMMYFUNCTION("""COMPUTED_VALUE"""),15.74)</f>
        <v>15.74</v>
      </c>
      <c r="D508" s="1">
        <f>IFERROR(__xludf.DUMMYFUNCTION("""COMPUTED_VALUE"""),14.91)</f>
        <v>14.91</v>
      </c>
      <c r="E508" s="1">
        <f>IFERROR(__xludf.DUMMYFUNCTION("""COMPUTED_VALUE"""),15.69)</f>
        <v>15.69</v>
      </c>
      <c r="F508" s="1">
        <f>IFERROR(__xludf.DUMMYFUNCTION("""COMPUTED_VALUE"""),515638.0)</f>
        <v>515638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IFERROR(__xludf.DUMMYFUNCTION("""COMPUTED_VALUE"""),15.7)</f>
        <v>15.7</v>
      </c>
      <c r="C509" s="1">
        <f>IFERROR(__xludf.DUMMYFUNCTION("""COMPUTED_VALUE"""),15.73)</f>
        <v>15.73</v>
      </c>
      <c r="D509" s="1">
        <f>IFERROR(__xludf.DUMMYFUNCTION("""COMPUTED_VALUE"""),15.26)</f>
        <v>15.26</v>
      </c>
      <c r="E509" s="1">
        <f>IFERROR(__xludf.DUMMYFUNCTION("""COMPUTED_VALUE"""),15.46)</f>
        <v>15.46</v>
      </c>
      <c r="F509" s="1">
        <f>IFERROR(__xludf.DUMMYFUNCTION("""COMPUTED_VALUE"""),389874.0)</f>
        <v>389874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IFERROR(__xludf.DUMMYFUNCTION("""COMPUTED_VALUE"""),15.49)</f>
        <v>15.49</v>
      </c>
      <c r="C510" s="1">
        <f>IFERROR(__xludf.DUMMYFUNCTION("""COMPUTED_VALUE"""),15.62)</f>
        <v>15.62</v>
      </c>
      <c r="D510" s="1">
        <f>IFERROR(__xludf.DUMMYFUNCTION("""COMPUTED_VALUE"""),15.17)</f>
        <v>15.17</v>
      </c>
      <c r="E510" s="1">
        <f>IFERROR(__xludf.DUMMYFUNCTION("""COMPUTED_VALUE"""),15.54)</f>
        <v>15.54</v>
      </c>
      <c r="F510" s="1">
        <f>IFERROR(__xludf.DUMMYFUNCTION("""COMPUTED_VALUE"""),407352.0)</f>
        <v>407352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IFERROR(__xludf.DUMMYFUNCTION("""COMPUTED_VALUE"""),15.76)</f>
        <v>15.76</v>
      </c>
      <c r="C511" s="1">
        <f>IFERROR(__xludf.DUMMYFUNCTION("""COMPUTED_VALUE"""),15.84)</f>
        <v>15.84</v>
      </c>
      <c r="D511" s="1">
        <f>IFERROR(__xludf.DUMMYFUNCTION("""COMPUTED_VALUE"""),15.07)</f>
        <v>15.07</v>
      </c>
      <c r="E511" s="1">
        <f>IFERROR(__xludf.DUMMYFUNCTION("""COMPUTED_VALUE"""),15.11)</f>
        <v>15.11</v>
      </c>
      <c r="F511" s="1">
        <f>IFERROR(__xludf.DUMMYFUNCTION("""COMPUTED_VALUE"""),666061.0)</f>
        <v>666061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IFERROR(__xludf.DUMMYFUNCTION("""COMPUTED_VALUE"""),15.01)</f>
        <v>15.01</v>
      </c>
      <c r="C512" s="1">
        <f>IFERROR(__xludf.DUMMYFUNCTION("""COMPUTED_VALUE"""),15.69)</f>
        <v>15.69</v>
      </c>
      <c r="D512" s="1">
        <f>IFERROR(__xludf.DUMMYFUNCTION("""COMPUTED_VALUE"""),15.01)</f>
        <v>15.01</v>
      </c>
      <c r="E512" s="1">
        <f>IFERROR(__xludf.DUMMYFUNCTION("""COMPUTED_VALUE"""),15.66)</f>
        <v>15.66</v>
      </c>
      <c r="F512" s="1">
        <f>IFERROR(__xludf.DUMMYFUNCTION("""COMPUTED_VALUE"""),256169.0)</f>
        <v>256169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IFERROR(__xludf.DUMMYFUNCTION("""COMPUTED_VALUE"""),15.69)</f>
        <v>15.69</v>
      </c>
      <c r="C513" s="1">
        <f>IFERROR(__xludf.DUMMYFUNCTION("""COMPUTED_VALUE"""),15.82)</f>
        <v>15.82</v>
      </c>
      <c r="D513" s="1">
        <f>IFERROR(__xludf.DUMMYFUNCTION("""COMPUTED_VALUE"""),15.36)</f>
        <v>15.36</v>
      </c>
      <c r="E513" s="1">
        <f>IFERROR(__xludf.DUMMYFUNCTION("""COMPUTED_VALUE"""),15.78)</f>
        <v>15.78</v>
      </c>
      <c r="F513" s="1">
        <f>IFERROR(__xludf.DUMMYFUNCTION("""COMPUTED_VALUE"""),213521.0)</f>
        <v>213521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IFERROR(__xludf.DUMMYFUNCTION("""COMPUTED_VALUE"""),15.62)</f>
        <v>15.62</v>
      </c>
      <c r="C514" s="1">
        <f>IFERROR(__xludf.DUMMYFUNCTION("""COMPUTED_VALUE"""),15.94)</f>
        <v>15.94</v>
      </c>
      <c r="D514" s="1">
        <f>IFERROR(__xludf.DUMMYFUNCTION("""COMPUTED_VALUE"""),15.39)</f>
        <v>15.39</v>
      </c>
      <c r="E514" s="1">
        <f>IFERROR(__xludf.DUMMYFUNCTION("""COMPUTED_VALUE"""),15.79)</f>
        <v>15.79</v>
      </c>
      <c r="F514" s="1">
        <f>IFERROR(__xludf.DUMMYFUNCTION("""COMPUTED_VALUE"""),349385.0)</f>
        <v>349385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IFERROR(__xludf.DUMMYFUNCTION("""COMPUTED_VALUE"""),15.83)</f>
        <v>15.83</v>
      </c>
      <c r="C515" s="1">
        <f>IFERROR(__xludf.DUMMYFUNCTION("""COMPUTED_VALUE"""),15.98)</f>
        <v>15.98</v>
      </c>
      <c r="D515" s="1">
        <f>IFERROR(__xludf.DUMMYFUNCTION("""COMPUTED_VALUE"""),15.57)</f>
        <v>15.57</v>
      </c>
      <c r="E515" s="1">
        <f>IFERROR(__xludf.DUMMYFUNCTION("""COMPUTED_VALUE"""),15.65)</f>
        <v>15.65</v>
      </c>
      <c r="F515" s="1">
        <f>IFERROR(__xludf.DUMMYFUNCTION("""COMPUTED_VALUE"""),279221.0)</f>
        <v>279221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IFERROR(__xludf.DUMMYFUNCTION("""COMPUTED_VALUE"""),15.56)</f>
        <v>15.56</v>
      </c>
      <c r="C516" s="1">
        <f>IFERROR(__xludf.DUMMYFUNCTION("""COMPUTED_VALUE"""),15.95)</f>
        <v>15.95</v>
      </c>
      <c r="D516" s="1">
        <f>IFERROR(__xludf.DUMMYFUNCTION("""COMPUTED_VALUE"""),15.56)</f>
        <v>15.56</v>
      </c>
      <c r="E516" s="1">
        <f>IFERROR(__xludf.DUMMYFUNCTION("""COMPUTED_VALUE"""),15.95)</f>
        <v>15.95</v>
      </c>
      <c r="F516" s="1">
        <f>IFERROR(__xludf.DUMMYFUNCTION("""COMPUTED_VALUE"""),242647.0)</f>
        <v>242647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IFERROR(__xludf.DUMMYFUNCTION("""COMPUTED_VALUE"""),16.0)</f>
        <v>16</v>
      </c>
      <c r="C517" s="1">
        <f>IFERROR(__xludf.DUMMYFUNCTION("""COMPUTED_VALUE"""),16.12)</f>
        <v>16.12</v>
      </c>
      <c r="D517" s="1">
        <f>IFERROR(__xludf.DUMMYFUNCTION("""COMPUTED_VALUE"""),15.72)</f>
        <v>15.72</v>
      </c>
      <c r="E517" s="1">
        <f>IFERROR(__xludf.DUMMYFUNCTION("""COMPUTED_VALUE"""),16.11)</f>
        <v>16.11</v>
      </c>
      <c r="F517" s="1">
        <f>IFERROR(__xludf.DUMMYFUNCTION("""COMPUTED_VALUE"""),316807.0)</f>
        <v>316807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IFERROR(__xludf.DUMMYFUNCTION("""COMPUTED_VALUE"""),16.05)</f>
        <v>16.05</v>
      </c>
      <c r="C518" s="1">
        <f>IFERROR(__xludf.DUMMYFUNCTION("""COMPUTED_VALUE"""),16.49)</f>
        <v>16.49</v>
      </c>
      <c r="D518" s="1">
        <f>IFERROR(__xludf.DUMMYFUNCTION("""COMPUTED_VALUE"""),15.91)</f>
        <v>15.91</v>
      </c>
      <c r="E518" s="1">
        <f>IFERROR(__xludf.DUMMYFUNCTION("""COMPUTED_VALUE"""),16.41)</f>
        <v>16.41</v>
      </c>
      <c r="F518" s="1">
        <f>IFERROR(__xludf.DUMMYFUNCTION("""COMPUTED_VALUE"""),346185.0)</f>
        <v>346185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IFERROR(__xludf.DUMMYFUNCTION("""COMPUTED_VALUE"""),16.41)</f>
        <v>16.41</v>
      </c>
      <c r="C519" s="1">
        <f>IFERROR(__xludf.DUMMYFUNCTION("""COMPUTED_VALUE"""),16.68)</f>
        <v>16.68</v>
      </c>
      <c r="D519" s="1">
        <f>IFERROR(__xludf.DUMMYFUNCTION("""COMPUTED_VALUE"""),16.0)</f>
        <v>16</v>
      </c>
      <c r="E519" s="1">
        <f>IFERROR(__xludf.DUMMYFUNCTION("""COMPUTED_VALUE"""),16.37)</f>
        <v>16.37</v>
      </c>
      <c r="F519" s="1">
        <f>IFERROR(__xludf.DUMMYFUNCTION("""COMPUTED_VALUE"""),483978.0)</f>
        <v>483978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IFERROR(__xludf.DUMMYFUNCTION("""COMPUTED_VALUE"""),16.6)</f>
        <v>16.6</v>
      </c>
      <c r="C520" s="1">
        <f>IFERROR(__xludf.DUMMYFUNCTION("""COMPUTED_VALUE"""),16.6)</f>
        <v>16.6</v>
      </c>
      <c r="D520" s="1">
        <f>IFERROR(__xludf.DUMMYFUNCTION("""COMPUTED_VALUE"""),15.25)</f>
        <v>15.25</v>
      </c>
      <c r="E520" s="1">
        <f>IFERROR(__xludf.DUMMYFUNCTION("""COMPUTED_VALUE"""),15.94)</f>
        <v>15.94</v>
      </c>
      <c r="F520" s="1">
        <f>IFERROR(__xludf.DUMMYFUNCTION("""COMPUTED_VALUE"""),530068.0)</f>
        <v>530068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IFERROR(__xludf.DUMMYFUNCTION("""COMPUTED_VALUE"""),15.92)</f>
        <v>15.92</v>
      </c>
      <c r="C521" s="1">
        <f>IFERROR(__xludf.DUMMYFUNCTION("""COMPUTED_VALUE"""),16.0)</f>
        <v>16</v>
      </c>
      <c r="D521" s="1">
        <f>IFERROR(__xludf.DUMMYFUNCTION("""COMPUTED_VALUE"""),15.71)</f>
        <v>15.71</v>
      </c>
      <c r="E521" s="1">
        <f>IFERROR(__xludf.DUMMYFUNCTION("""COMPUTED_VALUE"""),15.9)</f>
        <v>15.9</v>
      </c>
      <c r="F521" s="1">
        <f>IFERROR(__xludf.DUMMYFUNCTION("""COMPUTED_VALUE"""),494441.0)</f>
        <v>494441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IFERROR(__xludf.DUMMYFUNCTION("""COMPUTED_VALUE"""),15.95)</f>
        <v>15.95</v>
      </c>
      <c r="C522" s="1">
        <f>IFERROR(__xludf.DUMMYFUNCTION("""COMPUTED_VALUE"""),16.13)</f>
        <v>16.13</v>
      </c>
      <c r="D522" s="1">
        <f>IFERROR(__xludf.DUMMYFUNCTION("""COMPUTED_VALUE"""),15.46)</f>
        <v>15.46</v>
      </c>
      <c r="E522" s="1">
        <f>IFERROR(__xludf.DUMMYFUNCTION("""COMPUTED_VALUE"""),15.74)</f>
        <v>15.74</v>
      </c>
      <c r="F522" s="1">
        <f>IFERROR(__xludf.DUMMYFUNCTION("""COMPUTED_VALUE"""),412921.0)</f>
        <v>412921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IFERROR(__xludf.DUMMYFUNCTION("""COMPUTED_VALUE"""),15.62)</f>
        <v>15.62</v>
      </c>
      <c r="C523" s="1">
        <f>IFERROR(__xludf.DUMMYFUNCTION("""COMPUTED_VALUE"""),16.06)</f>
        <v>16.06</v>
      </c>
      <c r="D523" s="1">
        <f>IFERROR(__xludf.DUMMYFUNCTION("""COMPUTED_VALUE"""),15.56)</f>
        <v>15.56</v>
      </c>
      <c r="E523" s="1">
        <f>IFERROR(__xludf.DUMMYFUNCTION("""COMPUTED_VALUE"""),15.99)</f>
        <v>15.99</v>
      </c>
      <c r="F523" s="1">
        <f>IFERROR(__xludf.DUMMYFUNCTION("""COMPUTED_VALUE"""),248843.0)</f>
        <v>248843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IFERROR(__xludf.DUMMYFUNCTION("""COMPUTED_VALUE"""),15.76)</f>
        <v>15.76</v>
      </c>
      <c r="C524" s="1">
        <f>IFERROR(__xludf.DUMMYFUNCTION("""COMPUTED_VALUE"""),16.01)</f>
        <v>16.01</v>
      </c>
      <c r="D524" s="1">
        <f>IFERROR(__xludf.DUMMYFUNCTION("""COMPUTED_VALUE"""),15.58)</f>
        <v>15.58</v>
      </c>
      <c r="E524" s="1">
        <f>IFERROR(__xludf.DUMMYFUNCTION("""COMPUTED_VALUE"""),15.9)</f>
        <v>15.9</v>
      </c>
      <c r="F524" s="1">
        <f>IFERROR(__xludf.DUMMYFUNCTION("""COMPUTED_VALUE"""),234264.0)</f>
        <v>234264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IFERROR(__xludf.DUMMYFUNCTION("""COMPUTED_VALUE"""),16.0)</f>
        <v>16</v>
      </c>
      <c r="C525" s="1">
        <f>IFERROR(__xludf.DUMMYFUNCTION("""COMPUTED_VALUE"""),16.0)</f>
        <v>16</v>
      </c>
      <c r="D525" s="1">
        <f>IFERROR(__xludf.DUMMYFUNCTION("""COMPUTED_VALUE"""),15.71)</f>
        <v>15.71</v>
      </c>
      <c r="E525" s="1">
        <f>IFERROR(__xludf.DUMMYFUNCTION("""COMPUTED_VALUE"""),15.74)</f>
        <v>15.74</v>
      </c>
      <c r="F525" s="1">
        <f>IFERROR(__xludf.DUMMYFUNCTION("""COMPUTED_VALUE"""),283933.0)</f>
        <v>283933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IFERROR(__xludf.DUMMYFUNCTION("""COMPUTED_VALUE"""),15.91)</f>
        <v>15.91</v>
      </c>
      <c r="C526" s="1">
        <f>IFERROR(__xludf.DUMMYFUNCTION("""COMPUTED_VALUE"""),16.5)</f>
        <v>16.5</v>
      </c>
      <c r="D526" s="1">
        <f>IFERROR(__xludf.DUMMYFUNCTION("""COMPUTED_VALUE"""),15.79)</f>
        <v>15.79</v>
      </c>
      <c r="E526" s="1">
        <f>IFERROR(__xludf.DUMMYFUNCTION("""COMPUTED_VALUE"""),16.42)</f>
        <v>16.42</v>
      </c>
      <c r="F526" s="1">
        <f>IFERROR(__xludf.DUMMYFUNCTION("""COMPUTED_VALUE"""),623660.0)</f>
        <v>623660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IFERROR(__xludf.DUMMYFUNCTION("""COMPUTED_VALUE"""),16.46)</f>
        <v>16.46</v>
      </c>
      <c r="C527" s="1">
        <f>IFERROR(__xludf.DUMMYFUNCTION("""COMPUTED_VALUE"""),16.85)</f>
        <v>16.85</v>
      </c>
      <c r="D527" s="1">
        <f>IFERROR(__xludf.DUMMYFUNCTION("""COMPUTED_VALUE"""),16.21)</f>
        <v>16.21</v>
      </c>
      <c r="E527" s="1">
        <f>IFERROR(__xludf.DUMMYFUNCTION("""COMPUTED_VALUE"""),16.7)</f>
        <v>16.7</v>
      </c>
      <c r="F527" s="1">
        <f>IFERROR(__xludf.DUMMYFUNCTION("""COMPUTED_VALUE"""),483669.0)</f>
        <v>483669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IFERROR(__xludf.DUMMYFUNCTION("""COMPUTED_VALUE"""),16.94)</f>
        <v>16.94</v>
      </c>
      <c r="C528" s="1">
        <f>IFERROR(__xludf.DUMMYFUNCTION("""COMPUTED_VALUE"""),17.53)</f>
        <v>17.53</v>
      </c>
      <c r="D528" s="1">
        <f>IFERROR(__xludf.DUMMYFUNCTION("""COMPUTED_VALUE"""),16.93)</f>
        <v>16.93</v>
      </c>
      <c r="E528" s="1">
        <f>IFERROR(__xludf.DUMMYFUNCTION("""COMPUTED_VALUE"""),17.38)</f>
        <v>17.38</v>
      </c>
      <c r="F528" s="1">
        <f>IFERROR(__xludf.DUMMYFUNCTION("""COMPUTED_VALUE"""),601824.0)</f>
        <v>601824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IFERROR(__xludf.DUMMYFUNCTION("""COMPUTED_VALUE"""),17.33)</f>
        <v>17.33</v>
      </c>
      <c r="C529" s="1">
        <f>IFERROR(__xludf.DUMMYFUNCTION("""COMPUTED_VALUE"""),17.4)</f>
        <v>17.4</v>
      </c>
      <c r="D529" s="1">
        <f>IFERROR(__xludf.DUMMYFUNCTION("""COMPUTED_VALUE"""),17.0)</f>
        <v>17</v>
      </c>
      <c r="E529" s="1">
        <f>IFERROR(__xludf.DUMMYFUNCTION("""COMPUTED_VALUE"""),17.05)</f>
        <v>17.05</v>
      </c>
      <c r="F529" s="1">
        <f>IFERROR(__xludf.DUMMYFUNCTION("""COMPUTED_VALUE"""),240819.0)</f>
        <v>240819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IFERROR(__xludf.DUMMYFUNCTION("""COMPUTED_VALUE"""),17.0)</f>
        <v>17</v>
      </c>
      <c r="C530" s="1">
        <f>IFERROR(__xludf.DUMMYFUNCTION("""COMPUTED_VALUE"""),17.31)</f>
        <v>17.31</v>
      </c>
      <c r="D530" s="1">
        <f>IFERROR(__xludf.DUMMYFUNCTION("""COMPUTED_VALUE"""),16.91)</f>
        <v>16.91</v>
      </c>
      <c r="E530" s="1">
        <f>IFERROR(__xludf.DUMMYFUNCTION("""COMPUTED_VALUE"""),16.97)</f>
        <v>16.97</v>
      </c>
      <c r="F530" s="1">
        <f>IFERROR(__xludf.DUMMYFUNCTION("""COMPUTED_VALUE"""),208891.0)</f>
        <v>208891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IFERROR(__xludf.DUMMYFUNCTION("""COMPUTED_VALUE"""),17.0)</f>
        <v>17</v>
      </c>
      <c r="C531" s="1">
        <f>IFERROR(__xludf.DUMMYFUNCTION("""COMPUTED_VALUE"""),17.25)</f>
        <v>17.25</v>
      </c>
      <c r="D531" s="1">
        <f>IFERROR(__xludf.DUMMYFUNCTION("""COMPUTED_VALUE"""),16.81)</f>
        <v>16.81</v>
      </c>
      <c r="E531" s="1">
        <f>IFERROR(__xludf.DUMMYFUNCTION("""COMPUTED_VALUE"""),17.13)</f>
        <v>17.13</v>
      </c>
      <c r="F531" s="1">
        <f>IFERROR(__xludf.DUMMYFUNCTION("""COMPUTED_VALUE"""),331537.0)</f>
        <v>331537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IFERROR(__xludf.DUMMYFUNCTION("""COMPUTED_VALUE"""),17.17)</f>
        <v>17.17</v>
      </c>
      <c r="C532" s="1">
        <f>IFERROR(__xludf.DUMMYFUNCTION("""COMPUTED_VALUE"""),17.48)</f>
        <v>17.48</v>
      </c>
      <c r="D532" s="1">
        <f>IFERROR(__xludf.DUMMYFUNCTION("""COMPUTED_VALUE"""),17.07)</f>
        <v>17.07</v>
      </c>
      <c r="E532" s="1">
        <f>IFERROR(__xludf.DUMMYFUNCTION("""COMPUTED_VALUE"""),17.44)</f>
        <v>17.44</v>
      </c>
      <c r="F532" s="1">
        <f>IFERROR(__xludf.DUMMYFUNCTION("""COMPUTED_VALUE"""),366896.0)</f>
        <v>366896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IFERROR(__xludf.DUMMYFUNCTION("""COMPUTED_VALUE"""),17.19)</f>
        <v>17.19</v>
      </c>
      <c r="C533" s="1">
        <f>IFERROR(__xludf.DUMMYFUNCTION("""COMPUTED_VALUE"""),17.69)</f>
        <v>17.69</v>
      </c>
      <c r="D533" s="1">
        <f>IFERROR(__xludf.DUMMYFUNCTION("""COMPUTED_VALUE"""),16.95)</f>
        <v>16.95</v>
      </c>
      <c r="E533" s="1">
        <f>IFERROR(__xludf.DUMMYFUNCTION("""COMPUTED_VALUE"""),17.3)</f>
        <v>17.3</v>
      </c>
      <c r="F533" s="1">
        <f>IFERROR(__xludf.DUMMYFUNCTION("""COMPUTED_VALUE"""),783723.0)</f>
        <v>783723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IFERROR(__xludf.DUMMYFUNCTION("""COMPUTED_VALUE"""),17.51)</f>
        <v>17.51</v>
      </c>
      <c r="C534" s="1">
        <f>IFERROR(__xludf.DUMMYFUNCTION("""COMPUTED_VALUE"""),17.67)</f>
        <v>17.67</v>
      </c>
      <c r="D534" s="1">
        <f>IFERROR(__xludf.DUMMYFUNCTION("""COMPUTED_VALUE"""),17.08)</f>
        <v>17.08</v>
      </c>
      <c r="E534" s="1">
        <f>IFERROR(__xludf.DUMMYFUNCTION("""COMPUTED_VALUE"""),17.17)</f>
        <v>17.17</v>
      </c>
      <c r="F534" s="1">
        <f>IFERROR(__xludf.DUMMYFUNCTION("""COMPUTED_VALUE"""),376055.0)</f>
        <v>376055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IFERROR(__xludf.DUMMYFUNCTION("""COMPUTED_VALUE"""),17.09)</f>
        <v>17.09</v>
      </c>
      <c r="C535" s="1">
        <f>IFERROR(__xludf.DUMMYFUNCTION("""COMPUTED_VALUE"""),17.15)</f>
        <v>17.15</v>
      </c>
      <c r="D535" s="1">
        <f>IFERROR(__xludf.DUMMYFUNCTION("""COMPUTED_VALUE"""),16.77)</f>
        <v>16.77</v>
      </c>
      <c r="E535" s="1">
        <f>IFERROR(__xludf.DUMMYFUNCTION("""COMPUTED_VALUE"""),16.99)</f>
        <v>16.99</v>
      </c>
      <c r="F535" s="1">
        <f>IFERROR(__xludf.DUMMYFUNCTION("""COMPUTED_VALUE"""),223818.0)</f>
        <v>223818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IFERROR(__xludf.DUMMYFUNCTION("""COMPUTED_VALUE"""),17.08)</f>
        <v>17.08</v>
      </c>
      <c r="C536" s="1">
        <f>IFERROR(__xludf.DUMMYFUNCTION("""COMPUTED_VALUE"""),17.26)</f>
        <v>17.26</v>
      </c>
      <c r="D536" s="1">
        <f>IFERROR(__xludf.DUMMYFUNCTION("""COMPUTED_VALUE"""),16.72)</f>
        <v>16.72</v>
      </c>
      <c r="E536" s="1">
        <f>IFERROR(__xludf.DUMMYFUNCTION("""COMPUTED_VALUE"""),16.82)</f>
        <v>16.82</v>
      </c>
      <c r="F536" s="1">
        <f>IFERROR(__xludf.DUMMYFUNCTION("""COMPUTED_VALUE"""),249800.0)</f>
        <v>249800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IFERROR(__xludf.DUMMYFUNCTION("""COMPUTED_VALUE"""),16.7)</f>
        <v>16.7</v>
      </c>
      <c r="C537" s="1">
        <f>IFERROR(__xludf.DUMMYFUNCTION("""COMPUTED_VALUE"""),17.25)</f>
        <v>17.25</v>
      </c>
      <c r="D537" s="1">
        <f>IFERROR(__xludf.DUMMYFUNCTION("""COMPUTED_VALUE"""),16.66)</f>
        <v>16.66</v>
      </c>
      <c r="E537" s="1">
        <f>IFERROR(__xludf.DUMMYFUNCTION("""COMPUTED_VALUE"""),17.02)</f>
        <v>17.02</v>
      </c>
      <c r="F537" s="1">
        <f>IFERROR(__xludf.DUMMYFUNCTION("""COMPUTED_VALUE"""),469741.0)</f>
        <v>469741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IFERROR(__xludf.DUMMYFUNCTION("""COMPUTED_VALUE"""),17.02)</f>
        <v>17.02</v>
      </c>
      <c r="C538" s="1">
        <f>IFERROR(__xludf.DUMMYFUNCTION("""COMPUTED_VALUE"""),17.29)</f>
        <v>17.29</v>
      </c>
      <c r="D538" s="1">
        <f>IFERROR(__xludf.DUMMYFUNCTION("""COMPUTED_VALUE"""),16.93)</f>
        <v>16.93</v>
      </c>
      <c r="E538" s="1">
        <f>IFERROR(__xludf.DUMMYFUNCTION("""COMPUTED_VALUE"""),17.26)</f>
        <v>17.26</v>
      </c>
      <c r="F538" s="1">
        <f>IFERROR(__xludf.DUMMYFUNCTION("""COMPUTED_VALUE"""),333103.0)</f>
        <v>333103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IFERROR(__xludf.DUMMYFUNCTION("""COMPUTED_VALUE"""),17.08)</f>
        <v>17.08</v>
      </c>
      <c r="C539" s="1">
        <f>IFERROR(__xludf.DUMMYFUNCTION("""COMPUTED_VALUE"""),17.16)</f>
        <v>17.16</v>
      </c>
      <c r="D539" s="1">
        <f>IFERROR(__xludf.DUMMYFUNCTION("""COMPUTED_VALUE"""),16.81)</f>
        <v>16.81</v>
      </c>
      <c r="E539" s="1">
        <f>IFERROR(__xludf.DUMMYFUNCTION("""COMPUTED_VALUE"""),16.9)</f>
        <v>16.9</v>
      </c>
      <c r="F539" s="1">
        <f>IFERROR(__xludf.DUMMYFUNCTION("""COMPUTED_VALUE"""),282748.0)</f>
        <v>282748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IFERROR(__xludf.DUMMYFUNCTION("""COMPUTED_VALUE"""),16.79)</f>
        <v>16.79</v>
      </c>
      <c r="C540" s="1">
        <f>IFERROR(__xludf.DUMMYFUNCTION("""COMPUTED_VALUE"""),16.88)</f>
        <v>16.88</v>
      </c>
      <c r="D540" s="1">
        <f>IFERROR(__xludf.DUMMYFUNCTION("""COMPUTED_VALUE"""),16.36)</f>
        <v>16.36</v>
      </c>
      <c r="E540" s="1">
        <f>IFERROR(__xludf.DUMMYFUNCTION("""COMPUTED_VALUE"""),16.38)</f>
        <v>16.38</v>
      </c>
      <c r="F540" s="1">
        <f>IFERROR(__xludf.DUMMYFUNCTION("""COMPUTED_VALUE"""),339623.0)</f>
        <v>339623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IFERROR(__xludf.DUMMYFUNCTION("""COMPUTED_VALUE"""),16.46)</f>
        <v>16.46</v>
      </c>
      <c r="C541" s="1">
        <f>IFERROR(__xludf.DUMMYFUNCTION("""COMPUTED_VALUE"""),16.94)</f>
        <v>16.94</v>
      </c>
      <c r="D541" s="1">
        <f>IFERROR(__xludf.DUMMYFUNCTION("""COMPUTED_VALUE"""),16.27)</f>
        <v>16.27</v>
      </c>
      <c r="E541" s="1">
        <f>IFERROR(__xludf.DUMMYFUNCTION("""COMPUTED_VALUE"""),16.88)</f>
        <v>16.88</v>
      </c>
      <c r="F541" s="1">
        <f>IFERROR(__xludf.DUMMYFUNCTION("""COMPUTED_VALUE"""),227273.0)</f>
        <v>227273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IFERROR(__xludf.DUMMYFUNCTION("""COMPUTED_VALUE"""),16.87)</f>
        <v>16.87</v>
      </c>
      <c r="C542" s="1">
        <f>IFERROR(__xludf.DUMMYFUNCTION("""COMPUTED_VALUE"""),16.87)</f>
        <v>16.87</v>
      </c>
      <c r="D542" s="1">
        <f>IFERROR(__xludf.DUMMYFUNCTION("""COMPUTED_VALUE"""),16.5)</f>
        <v>16.5</v>
      </c>
      <c r="E542" s="1">
        <f>IFERROR(__xludf.DUMMYFUNCTION("""COMPUTED_VALUE"""),16.53)</f>
        <v>16.53</v>
      </c>
      <c r="F542" s="1">
        <f>IFERROR(__xludf.DUMMYFUNCTION("""COMPUTED_VALUE"""),225667.0)</f>
        <v>225667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IFERROR(__xludf.DUMMYFUNCTION("""COMPUTED_VALUE"""),16.37)</f>
        <v>16.37</v>
      </c>
      <c r="C543" s="1">
        <f>IFERROR(__xludf.DUMMYFUNCTION("""COMPUTED_VALUE"""),16.74)</f>
        <v>16.74</v>
      </c>
      <c r="D543" s="1">
        <f>IFERROR(__xludf.DUMMYFUNCTION("""COMPUTED_VALUE"""),16.28)</f>
        <v>16.28</v>
      </c>
      <c r="E543" s="1">
        <f>IFERROR(__xludf.DUMMYFUNCTION("""COMPUTED_VALUE"""),16.58)</f>
        <v>16.58</v>
      </c>
      <c r="F543" s="1">
        <f>IFERROR(__xludf.DUMMYFUNCTION("""COMPUTED_VALUE"""),216204.0)</f>
        <v>216204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IFERROR(__xludf.DUMMYFUNCTION("""COMPUTED_VALUE"""),16.61)</f>
        <v>16.61</v>
      </c>
      <c r="C544" s="1">
        <f>IFERROR(__xludf.DUMMYFUNCTION("""COMPUTED_VALUE"""),16.77)</f>
        <v>16.77</v>
      </c>
      <c r="D544" s="1">
        <f>IFERROR(__xludf.DUMMYFUNCTION("""COMPUTED_VALUE"""),16.3)</f>
        <v>16.3</v>
      </c>
      <c r="E544" s="1">
        <f>IFERROR(__xludf.DUMMYFUNCTION("""COMPUTED_VALUE"""),16.37)</f>
        <v>16.37</v>
      </c>
      <c r="F544" s="1">
        <f>IFERROR(__xludf.DUMMYFUNCTION("""COMPUTED_VALUE"""),254103.0)</f>
        <v>254103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IFERROR(__xludf.DUMMYFUNCTION("""COMPUTED_VALUE"""),16.47)</f>
        <v>16.47</v>
      </c>
      <c r="C545" s="1">
        <f>IFERROR(__xludf.DUMMYFUNCTION("""COMPUTED_VALUE"""),16.71)</f>
        <v>16.71</v>
      </c>
      <c r="D545" s="1">
        <f>IFERROR(__xludf.DUMMYFUNCTION("""COMPUTED_VALUE"""),16.27)</f>
        <v>16.27</v>
      </c>
      <c r="E545" s="1">
        <f>IFERROR(__xludf.DUMMYFUNCTION("""COMPUTED_VALUE"""),16.34)</f>
        <v>16.34</v>
      </c>
      <c r="F545" s="1">
        <f>IFERROR(__xludf.DUMMYFUNCTION("""COMPUTED_VALUE"""),572801.0)</f>
        <v>572801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IFERROR(__xludf.DUMMYFUNCTION("""COMPUTED_VALUE"""),16.44)</f>
        <v>16.44</v>
      </c>
      <c r="C546" s="1">
        <f>IFERROR(__xludf.DUMMYFUNCTION("""COMPUTED_VALUE"""),16.79)</f>
        <v>16.79</v>
      </c>
      <c r="D546" s="1">
        <f>IFERROR(__xludf.DUMMYFUNCTION("""COMPUTED_VALUE"""),16.44)</f>
        <v>16.44</v>
      </c>
      <c r="E546" s="1">
        <f>IFERROR(__xludf.DUMMYFUNCTION("""COMPUTED_VALUE"""),16.45)</f>
        <v>16.45</v>
      </c>
      <c r="F546" s="1">
        <f>IFERROR(__xludf.DUMMYFUNCTION("""COMPUTED_VALUE"""),368552.0)</f>
        <v>368552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IFERROR(__xludf.DUMMYFUNCTION("""COMPUTED_VALUE"""),16.47)</f>
        <v>16.47</v>
      </c>
      <c r="C547" s="1">
        <f>IFERROR(__xludf.DUMMYFUNCTION("""COMPUTED_VALUE"""),16.67)</f>
        <v>16.67</v>
      </c>
      <c r="D547" s="1">
        <f>IFERROR(__xludf.DUMMYFUNCTION("""COMPUTED_VALUE"""),16.26)</f>
        <v>16.26</v>
      </c>
      <c r="E547" s="1">
        <f>IFERROR(__xludf.DUMMYFUNCTION("""COMPUTED_VALUE"""),16.3)</f>
        <v>16.3</v>
      </c>
      <c r="F547" s="1">
        <f>IFERROR(__xludf.DUMMYFUNCTION("""COMPUTED_VALUE"""),398262.0)</f>
        <v>398262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IFERROR(__xludf.DUMMYFUNCTION("""COMPUTED_VALUE"""),16.25)</f>
        <v>16.25</v>
      </c>
      <c r="C548" s="1">
        <f>IFERROR(__xludf.DUMMYFUNCTION("""COMPUTED_VALUE"""),16.53)</f>
        <v>16.53</v>
      </c>
      <c r="D548" s="1">
        <f>IFERROR(__xludf.DUMMYFUNCTION("""COMPUTED_VALUE"""),16.17)</f>
        <v>16.17</v>
      </c>
      <c r="E548" s="1">
        <f>IFERROR(__xludf.DUMMYFUNCTION("""COMPUTED_VALUE"""),16.4)</f>
        <v>16.4</v>
      </c>
      <c r="F548" s="1">
        <f>IFERROR(__xludf.DUMMYFUNCTION("""COMPUTED_VALUE"""),180821.0)</f>
        <v>180821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IFERROR(__xludf.DUMMYFUNCTION("""COMPUTED_VALUE"""),16.22)</f>
        <v>16.22</v>
      </c>
      <c r="C549" s="1">
        <f>IFERROR(__xludf.DUMMYFUNCTION("""COMPUTED_VALUE"""),16.29)</f>
        <v>16.29</v>
      </c>
      <c r="D549" s="1">
        <f>IFERROR(__xludf.DUMMYFUNCTION("""COMPUTED_VALUE"""),15.67)</f>
        <v>15.67</v>
      </c>
      <c r="E549" s="1">
        <f>IFERROR(__xludf.DUMMYFUNCTION("""COMPUTED_VALUE"""),15.76)</f>
        <v>15.76</v>
      </c>
      <c r="F549" s="1">
        <f>IFERROR(__xludf.DUMMYFUNCTION("""COMPUTED_VALUE"""),329590.0)</f>
        <v>329590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IFERROR(__xludf.DUMMYFUNCTION("""COMPUTED_VALUE"""),15.88)</f>
        <v>15.88</v>
      </c>
      <c r="C550" s="1">
        <f>IFERROR(__xludf.DUMMYFUNCTION("""COMPUTED_VALUE"""),16.11)</f>
        <v>16.11</v>
      </c>
      <c r="D550" s="1">
        <f>IFERROR(__xludf.DUMMYFUNCTION("""COMPUTED_VALUE"""),15.72)</f>
        <v>15.72</v>
      </c>
      <c r="E550" s="1">
        <f>IFERROR(__xludf.DUMMYFUNCTION("""COMPUTED_VALUE"""),16.01)</f>
        <v>16.01</v>
      </c>
      <c r="F550" s="1">
        <f>IFERROR(__xludf.DUMMYFUNCTION("""COMPUTED_VALUE"""),331586.0)</f>
        <v>331586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IFERROR(__xludf.DUMMYFUNCTION("""COMPUTED_VALUE"""),16.19)</f>
        <v>16.19</v>
      </c>
      <c r="C551" s="1">
        <f>IFERROR(__xludf.DUMMYFUNCTION("""COMPUTED_VALUE"""),16.35)</f>
        <v>16.35</v>
      </c>
      <c r="D551" s="1">
        <f>IFERROR(__xludf.DUMMYFUNCTION("""COMPUTED_VALUE"""),15.9)</f>
        <v>15.9</v>
      </c>
      <c r="E551" s="1">
        <f>IFERROR(__xludf.DUMMYFUNCTION("""COMPUTED_VALUE"""),16.31)</f>
        <v>16.31</v>
      </c>
      <c r="F551" s="1">
        <f>IFERROR(__xludf.DUMMYFUNCTION("""COMPUTED_VALUE"""),247384.0)</f>
        <v>247384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IFERROR(__xludf.DUMMYFUNCTION("""COMPUTED_VALUE"""),16.32)</f>
        <v>16.32</v>
      </c>
      <c r="C552" s="1">
        <f>IFERROR(__xludf.DUMMYFUNCTION("""COMPUTED_VALUE"""),16.86)</f>
        <v>16.86</v>
      </c>
      <c r="D552" s="1">
        <f>IFERROR(__xludf.DUMMYFUNCTION("""COMPUTED_VALUE"""),16.29)</f>
        <v>16.29</v>
      </c>
      <c r="E552" s="1">
        <f>IFERROR(__xludf.DUMMYFUNCTION("""COMPUTED_VALUE"""),16.68)</f>
        <v>16.68</v>
      </c>
      <c r="F552" s="1">
        <f>IFERROR(__xludf.DUMMYFUNCTION("""COMPUTED_VALUE"""),396860.0)</f>
        <v>396860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IFERROR(__xludf.DUMMYFUNCTION("""COMPUTED_VALUE"""),16.66)</f>
        <v>16.66</v>
      </c>
      <c r="C553" s="1">
        <f>IFERROR(__xludf.DUMMYFUNCTION("""COMPUTED_VALUE"""),17.0)</f>
        <v>17</v>
      </c>
      <c r="D553" s="1">
        <f>IFERROR(__xludf.DUMMYFUNCTION("""COMPUTED_VALUE"""),16.53)</f>
        <v>16.53</v>
      </c>
      <c r="E553" s="1">
        <f>IFERROR(__xludf.DUMMYFUNCTION("""COMPUTED_VALUE"""),16.74)</f>
        <v>16.74</v>
      </c>
      <c r="F553" s="1">
        <f>IFERROR(__xludf.DUMMYFUNCTION("""COMPUTED_VALUE"""),322909.0)</f>
        <v>322909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IFERROR(__xludf.DUMMYFUNCTION("""COMPUTED_VALUE"""),16.8)</f>
        <v>16.8</v>
      </c>
      <c r="C554" s="1">
        <f>IFERROR(__xludf.DUMMYFUNCTION("""COMPUTED_VALUE"""),17.53)</f>
        <v>17.53</v>
      </c>
      <c r="D554" s="1">
        <f>IFERROR(__xludf.DUMMYFUNCTION("""COMPUTED_VALUE"""),16.7)</f>
        <v>16.7</v>
      </c>
      <c r="E554" s="1">
        <f>IFERROR(__xludf.DUMMYFUNCTION("""COMPUTED_VALUE"""),17.52)</f>
        <v>17.52</v>
      </c>
      <c r="F554" s="1">
        <f>IFERROR(__xludf.DUMMYFUNCTION("""COMPUTED_VALUE"""),567490.0)</f>
        <v>567490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IFERROR(__xludf.DUMMYFUNCTION("""COMPUTED_VALUE"""),17.54)</f>
        <v>17.54</v>
      </c>
      <c r="C555" s="1">
        <f>IFERROR(__xludf.DUMMYFUNCTION("""COMPUTED_VALUE"""),17.77)</f>
        <v>17.77</v>
      </c>
      <c r="D555" s="1">
        <f>IFERROR(__xludf.DUMMYFUNCTION("""COMPUTED_VALUE"""),17.13)</f>
        <v>17.13</v>
      </c>
      <c r="E555" s="1">
        <f>IFERROR(__xludf.DUMMYFUNCTION("""COMPUTED_VALUE"""),17.39)</f>
        <v>17.39</v>
      </c>
      <c r="F555" s="1">
        <f>IFERROR(__xludf.DUMMYFUNCTION("""COMPUTED_VALUE"""),331541.0)</f>
        <v>331541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IFERROR(__xludf.DUMMYFUNCTION("""COMPUTED_VALUE"""),17.44)</f>
        <v>17.44</v>
      </c>
      <c r="C556" s="1">
        <f>IFERROR(__xludf.DUMMYFUNCTION("""COMPUTED_VALUE"""),18.12)</f>
        <v>18.12</v>
      </c>
      <c r="D556" s="1">
        <f>IFERROR(__xludf.DUMMYFUNCTION("""COMPUTED_VALUE"""),17.19)</f>
        <v>17.19</v>
      </c>
      <c r="E556" s="1">
        <f>IFERROR(__xludf.DUMMYFUNCTION("""COMPUTED_VALUE"""),18.06)</f>
        <v>18.06</v>
      </c>
      <c r="F556" s="1">
        <f>IFERROR(__xludf.DUMMYFUNCTION("""COMPUTED_VALUE"""),563035.0)</f>
        <v>563035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IFERROR(__xludf.DUMMYFUNCTION("""COMPUTED_VALUE"""),18.1)</f>
        <v>18.1</v>
      </c>
      <c r="C557" s="1">
        <f>IFERROR(__xludf.DUMMYFUNCTION("""COMPUTED_VALUE"""),18.2)</f>
        <v>18.2</v>
      </c>
      <c r="D557" s="1">
        <f>IFERROR(__xludf.DUMMYFUNCTION("""COMPUTED_VALUE"""),17.81)</f>
        <v>17.81</v>
      </c>
      <c r="E557" s="1">
        <f>IFERROR(__xludf.DUMMYFUNCTION("""COMPUTED_VALUE"""),18.03)</f>
        <v>18.03</v>
      </c>
      <c r="F557" s="1">
        <f>IFERROR(__xludf.DUMMYFUNCTION("""COMPUTED_VALUE"""),940485.0)</f>
        <v>940485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IFERROR(__xludf.DUMMYFUNCTION("""COMPUTED_VALUE"""),17.97)</f>
        <v>17.97</v>
      </c>
      <c r="C558" s="1">
        <f>IFERROR(__xludf.DUMMYFUNCTION("""COMPUTED_VALUE"""),18.3)</f>
        <v>18.3</v>
      </c>
      <c r="D558" s="1">
        <f>IFERROR(__xludf.DUMMYFUNCTION("""COMPUTED_VALUE"""),17.79)</f>
        <v>17.79</v>
      </c>
      <c r="E558" s="1">
        <f>IFERROR(__xludf.DUMMYFUNCTION("""COMPUTED_VALUE"""),18.1)</f>
        <v>18.1</v>
      </c>
      <c r="F558" s="1">
        <f>IFERROR(__xludf.DUMMYFUNCTION("""COMPUTED_VALUE"""),402044.0)</f>
        <v>402044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IFERROR(__xludf.DUMMYFUNCTION("""COMPUTED_VALUE"""),17.9)</f>
        <v>17.9</v>
      </c>
      <c r="C559" s="1">
        <f>IFERROR(__xludf.DUMMYFUNCTION("""COMPUTED_VALUE"""),18.19)</f>
        <v>18.19</v>
      </c>
      <c r="D559" s="1">
        <f>IFERROR(__xludf.DUMMYFUNCTION("""COMPUTED_VALUE"""),17.88)</f>
        <v>17.88</v>
      </c>
      <c r="E559" s="1">
        <f>IFERROR(__xludf.DUMMYFUNCTION("""COMPUTED_VALUE"""),18.07)</f>
        <v>18.07</v>
      </c>
      <c r="F559" s="1">
        <f>IFERROR(__xludf.DUMMYFUNCTION("""COMPUTED_VALUE"""),308490.0)</f>
        <v>308490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IFERROR(__xludf.DUMMYFUNCTION("""COMPUTED_VALUE"""),18.12)</f>
        <v>18.12</v>
      </c>
      <c r="C560" s="1">
        <f>IFERROR(__xludf.DUMMYFUNCTION("""COMPUTED_VALUE"""),18.22)</f>
        <v>18.22</v>
      </c>
      <c r="D560" s="1">
        <f>IFERROR(__xludf.DUMMYFUNCTION("""COMPUTED_VALUE"""),17.82)</f>
        <v>17.82</v>
      </c>
      <c r="E560" s="1">
        <f>IFERROR(__xludf.DUMMYFUNCTION("""COMPUTED_VALUE"""),17.97)</f>
        <v>17.97</v>
      </c>
      <c r="F560" s="1">
        <f>IFERROR(__xludf.DUMMYFUNCTION("""COMPUTED_VALUE"""),235893.0)</f>
        <v>235893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IFERROR(__xludf.DUMMYFUNCTION("""COMPUTED_VALUE"""),17.74)</f>
        <v>17.74</v>
      </c>
      <c r="C561" s="1">
        <f>IFERROR(__xludf.DUMMYFUNCTION("""COMPUTED_VALUE"""),17.86)</f>
        <v>17.86</v>
      </c>
      <c r="D561" s="1">
        <f>IFERROR(__xludf.DUMMYFUNCTION("""COMPUTED_VALUE"""),17.33)</f>
        <v>17.33</v>
      </c>
      <c r="E561" s="1">
        <f>IFERROR(__xludf.DUMMYFUNCTION("""COMPUTED_VALUE"""),17.45)</f>
        <v>17.45</v>
      </c>
      <c r="F561" s="1">
        <f>IFERROR(__xludf.DUMMYFUNCTION("""COMPUTED_VALUE"""),408264.0)</f>
        <v>408264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IFERROR(__xludf.DUMMYFUNCTION("""COMPUTED_VALUE"""),17.5)</f>
        <v>17.5</v>
      </c>
      <c r="C562" s="1">
        <f>IFERROR(__xludf.DUMMYFUNCTION("""COMPUTED_VALUE"""),17.75)</f>
        <v>17.75</v>
      </c>
      <c r="D562" s="1">
        <f>IFERROR(__xludf.DUMMYFUNCTION("""COMPUTED_VALUE"""),17.37)</f>
        <v>17.37</v>
      </c>
      <c r="E562" s="1">
        <f>IFERROR(__xludf.DUMMYFUNCTION("""COMPUTED_VALUE"""),17.73)</f>
        <v>17.73</v>
      </c>
      <c r="F562" s="1">
        <f>IFERROR(__xludf.DUMMYFUNCTION("""COMPUTED_VALUE"""),217371.0)</f>
        <v>217371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IFERROR(__xludf.DUMMYFUNCTION("""COMPUTED_VALUE"""),17.94)</f>
        <v>17.94</v>
      </c>
      <c r="C563" s="1">
        <f>IFERROR(__xludf.DUMMYFUNCTION("""COMPUTED_VALUE"""),18.23)</f>
        <v>18.23</v>
      </c>
      <c r="D563" s="1">
        <f>IFERROR(__xludf.DUMMYFUNCTION("""COMPUTED_VALUE"""),17.79)</f>
        <v>17.79</v>
      </c>
      <c r="E563" s="1">
        <f>IFERROR(__xludf.DUMMYFUNCTION("""COMPUTED_VALUE"""),18.19)</f>
        <v>18.19</v>
      </c>
      <c r="F563" s="1">
        <f>IFERROR(__xludf.DUMMYFUNCTION("""COMPUTED_VALUE"""),331169.0)</f>
        <v>331169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IFERROR(__xludf.DUMMYFUNCTION("""COMPUTED_VALUE"""),18.2)</f>
        <v>18.2</v>
      </c>
      <c r="C564" s="1">
        <f>IFERROR(__xludf.DUMMYFUNCTION("""COMPUTED_VALUE"""),18.26)</f>
        <v>18.26</v>
      </c>
      <c r="D564" s="1">
        <f>IFERROR(__xludf.DUMMYFUNCTION("""COMPUTED_VALUE"""),17.81)</f>
        <v>17.81</v>
      </c>
      <c r="E564" s="1">
        <f>IFERROR(__xludf.DUMMYFUNCTION("""COMPUTED_VALUE"""),17.83)</f>
        <v>17.83</v>
      </c>
      <c r="F564" s="1">
        <f>IFERROR(__xludf.DUMMYFUNCTION("""COMPUTED_VALUE"""),305520.0)</f>
        <v>305520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IFERROR(__xludf.DUMMYFUNCTION("""COMPUTED_VALUE"""),17.85)</f>
        <v>17.85</v>
      </c>
      <c r="C565" s="1">
        <f>IFERROR(__xludf.DUMMYFUNCTION("""COMPUTED_VALUE"""),17.96)</f>
        <v>17.96</v>
      </c>
      <c r="D565" s="1">
        <f>IFERROR(__xludf.DUMMYFUNCTION("""COMPUTED_VALUE"""),17.57)</f>
        <v>17.57</v>
      </c>
      <c r="E565" s="1">
        <f>IFERROR(__xludf.DUMMYFUNCTION("""COMPUTED_VALUE"""),17.86)</f>
        <v>17.86</v>
      </c>
      <c r="F565" s="1">
        <f>IFERROR(__xludf.DUMMYFUNCTION("""COMPUTED_VALUE"""),377352.0)</f>
        <v>377352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IFERROR(__xludf.DUMMYFUNCTION("""COMPUTED_VALUE"""),17.64)</f>
        <v>17.64</v>
      </c>
      <c r="C566" s="1">
        <f>IFERROR(__xludf.DUMMYFUNCTION("""COMPUTED_VALUE"""),18.0)</f>
        <v>18</v>
      </c>
      <c r="D566" s="1">
        <f>IFERROR(__xludf.DUMMYFUNCTION("""COMPUTED_VALUE"""),17.27)</f>
        <v>17.27</v>
      </c>
      <c r="E566" s="1">
        <f>IFERROR(__xludf.DUMMYFUNCTION("""COMPUTED_VALUE"""),17.95)</f>
        <v>17.95</v>
      </c>
      <c r="F566" s="1">
        <f>IFERROR(__xludf.DUMMYFUNCTION("""COMPUTED_VALUE"""),379117.0)</f>
        <v>379117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IFERROR(__xludf.DUMMYFUNCTION("""COMPUTED_VALUE"""),18.07)</f>
        <v>18.07</v>
      </c>
      <c r="C567" s="1">
        <f>IFERROR(__xludf.DUMMYFUNCTION("""COMPUTED_VALUE"""),18.07)</f>
        <v>18.07</v>
      </c>
      <c r="D567" s="1">
        <f>IFERROR(__xludf.DUMMYFUNCTION("""COMPUTED_VALUE"""),17.6)</f>
        <v>17.6</v>
      </c>
      <c r="E567" s="1">
        <f>IFERROR(__xludf.DUMMYFUNCTION("""COMPUTED_VALUE"""),17.7)</f>
        <v>17.7</v>
      </c>
      <c r="F567" s="1">
        <f>IFERROR(__xludf.DUMMYFUNCTION("""COMPUTED_VALUE"""),358628.0)</f>
        <v>358628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IFERROR(__xludf.DUMMYFUNCTION("""COMPUTED_VALUE"""),17.66)</f>
        <v>17.66</v>
      </c>
      <c r="C568" s="1">
        <f>IFERROR(__xludf.DUMMYFUNCTION("""COMPUTED_VALUE"""),18.06)</f>
        <v>18.06</v>
      </c>
      <c r="D568" s="1">
        <f>IFERROR(__xludf.DUMMYFUNCTION("""COMPUTED_VALUE"""),17.54)</f>
        <v>17.54</v>
      </c>
      <c r="E568" s="1">
        <f>IFERROR(__xludf.DUMMYFUNCTION("""COMPUTED_VALUE"""),18.03)</f>
        <v>18.03</v>
      </c>
      <c r="F568" s="1">
        <f>IFERROR(__xludf.DUMMYFUNCTION("""COMPUTED_VALUE"""),641921.0)</f>
        <v>641921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IFERROR(__xludf.DUMMYFUNCTION("""COMPUTED_VALUE"""),18.0)</f>
        <v>18</v>
      </c>
      <c r="C569" s="1">
        <f>IFERROR(__xludf.DUMMYFUNCTION("""COMPUTED_VALUE"""),18.18)</f>
        <v>18.18</v>
      </c>
      <c r="D569" s="1">
        <f>IFERROR(__xludf.DUMMYFUNCTION("""COMPUTED_VALUE"""),17.76)</f>
        <v>17.76</v>
      </c>
      <c r="E569" s="1">
        <f>IFERROR(__xludf.DUMMYFUNCTION("""COMPUTED_VALUE"""),18.16)</f>
        <v>18.16</v>
      </c>
      <c r="F569" s="1">
        <f>IFERROR(__xludf.DUMMYFUNCTION("""COMPUTED_VALUE"""),520790.0)</f>
        <v>520790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IFERROR(__xludf.DUMMYFUNCTION("""COMPUTED_VALUE"""),17.85)</f>
        <v>17.85</v>
      </c>
      <c r="C570" s="1">
        <f>IFERROR(__xludf.DUMMYFUNCTION("""COMPUTED_VALUE"""),17.95)</f>
        <v>17.95</v>
      </c>
      <c r="D570" s="1">
        <f>IFERROR(__xludf.DUMMYFUNCTION("""COMPUTED_VALUE"""),17.45)</f>
        <v>17.45</v>
      </c>
      <c r="E570" s="1">
        <f>IFERROR(__xludf.DUMMYFUNCTION("""COMPUTED_VALUE"""),17.66)</f>
        <v>17.66</v>
      </c>
      <c r="F570" s="1">
        <f>IFERROR(__xludf.DUMMYFUNCTION("""COMPUTED_VALUE"""),421971.0)</f>
        <v>421971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IFERROR(__xludf.DUMMYFUNCTION("""COMPUTED_VALUE"""),17.44)</f>
        <v>17.44</v>
      </c>
      <c r="C571" s="1">
        <f>IFERROR(__xludf.DUMMYFUNCTION("""COMPUTED_VALUE"""),17.74)</f>
        <v>17.74</v>
      </c>
      <c r="D571" s="1">
        <f>IFERROR(__xludf.DUMMYFUNCTION("""COMPUTED_VALUE"""),17.42)</f>
        <v>17.42</v>
      </c>
      <c r="E571" s="1">
        <f>IFERROR(__xludf.DUMMYFUNCTION("""COMPUTED_VALUE"""),17.72)</f>
        <v>17.72</v>
      </c>
      <c r="F571" s="1">
        <f>IFERROR(__xludf.DUMMYFUNCTION("""COMPUTED_VALUE"""),411733.0)</f>
        <v>411733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IFERROR(__xludf.DUMMYFUNCTION("""COMPUTED_VALUE"""),17.28)</f>
        <v>17.28</v>
      </c>
      <c r="C572" s="1">
        <f>IFERROR(__xludf.DUMMYFUNCTION("""COMPUTED_VALUE"""),17.4)</f>
        <v>17.4</v>
      </c>
      <c r="D572" s="1">
        <f>IFERROR(__xludf.DUMMYFUNCTION("""COMPUTED_VALUE"""),17.0)</f>
        <v>17</v>
      </c>
      <c r="E572" s="1">
        <f>IFERROR(__xludf.DUMMYFUNCTION("""COMPUTED_VALUE"""),17.03)</f>
        <v>17.03</v>
      </c>
      <c r="F572" s="1">
        <f>IFERROR(__xludf.DUMMYFUNCTION("""COMPUTED_VALUE"""),356902.0)</f>
        <v>356902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IFERROR(__xludf.DUMMYFUNCTION("""COMPUTED_VALUE"""),17.05)</f>
        <v>17.05</v>
      </c>
      <c r="C573" s="1">
        <f>IFERROR(__xludf.DUMMYFUNCTION("""COMPUTED_VALUE"""),17.1)</f>
        <v>17.1</v>
      </c>
      <c r="D573" s="1">
        <f>IFERROR(__xludf.DUMMYFUNCTION("""COMPUTED_VALUE"""),16.58)</f>
        <v>16.58</v>
      </c>
      <c r="E573" s="1">
        <f>IFERROR(__xludf.DUMMYFUNCTION("""COMPUTED_VALUE"""),16.6)</f>
        <v>16.6</v>
      </c>
      <c r="F573" s="1">
        <f>IFERROR(__xludf.DUMMYFUNCTION("""COMPUTED_VALUE"""),343305.0)</f>
        <v>343305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IFERROR(__xludf.DUMMYFUNCTION("""COMPUTED_VALUE"""),16.89)</f>
        <v>16.89</v>
      </c>
      <c r="C574" s="1">
        <f>IFERROR(__xludf.DUMMYFUNCTION("""COMPUTED_VALUE"""),17.1)</f>
        <v>17.1</v>
      </c>
      <c r="D574" s="1">
        <f>IFERROR(__xludf.DUMMYFUNCTION("""COMPUTED_VALUE"""),16.78)</f>
        <v>16.78</v>
      </c>
      <c r="E574" s="1">
        <f>IFERROR(__xludf.DUMMYFUNCTION("""COMPUTED_VALUE"""),17.07)</f>
        <v>17.07</v>
      </c>
      <c r="F574" s="1">
        <f>IFERROR(__xludf.DUMMYFUNCTION("""COMPUTED_VALUE"""),380477.0)</f>
        <v>380477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IFERROR(__xludf.DUMMYFUNCTION("""COMPUTED_VALUE"""),17.06)</f>
        <v>17.06</v>
      </c>
      <c r="C575" s="1">
        <f>IFERROR(__xludf.DUMMYFUNCTION("""COMPUTED_VALUE"""),17.4)</f>
        <v>17.4</v>
      </c>
      <c r="D575" s="1">
        <f>IFERROR(__xludf.DUMMYFUNCTION("""COMPUTED_VALUE"""),17.0)</f>
        <v>17</v>
      </c>
      <c r="E575" s="1">
        <f>IFERROR(__xludf.DUMMYFUNCTION("""COMPUTED_VALUE"""),17.32)</f>
        <v>17.32</v>
      </c>
      <c r="F575" s="1">
        <f>IFERROR(__xludf.DUMMYFUNCTION("""COMPUTED_VALUE"""),248206.0)</f>
        <v>248206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IFERROR(__xludf.DUMMYFUNCTION("""COMPUTED_VALUE"""),17.16)</f>
        <v>17.16</v>
      </c>
      <c r="C576" s="1">
        <f>IFERROR(__xludf.DUMMYFUNCTION("""COMPUTED_VALUE"""),17.22)</f>
        <v>17.22</v>
      </c>
      <c r="D576" s="1">
        <f>IFERROR(__xludf.DUMMYFUNCTION("""COMPUTED_VALUE"""),16.76)</f>
        <v>16.76</v>
      </c>
      <c r="E576" s="1">
        <f>IFERROR(__xludf.DUMMYFUNCTION("""COMPUTED_VALUE"""),16.79)</f>
        <v>16.79</v>
      </c>
      <c r="F576" s="1">
        <f>IFERROR(__xludf.DUMMYFUNCTION("""COMPUTED_VALUE"""),401229.0)</f>
        <v>401229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IFERROR(__xludf.DUMMYFUNCTION("""COMPUTED_VALUE"""),16.95)</f>
        <v>16.95</v>
      </c>
      <c r="C577" s="1">
        <f>IFERROR(__xludf.DUMMYFUNCTION("""COMPUTED_VALUE"""),17.23)</f>
        <v>17.23</v>
      </c>
      <c r="D577" s="1">
        <f>IFERROR(__xludf.DUMMYFUNCTION("""COMPUTED_VALUE"""),16.76)</f>
        <v>16.76</v>
      </c>
      <c r="E577" s="1">
        <f>IFERROR(__xludf.DUMMYFUNCTION("""COMPUTED_VALUE"""),17.02)</f>
        <v>17.02</v>
      </c>
      <c r="F577" s="1">
        <f>IFERROR(__xludf.DUMMYFUNCTION("""COMPUTED_VALUE"""),271844.0)</f>
        <v>271844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IFERROR(__xludf.DUMMYFUNCTION("""COMPUTED_VALUE"""),17.29)</f>
        <v>17.29</v>
      </c>
      <c r="C578" s="1">
        <f>IFERROR(__xludf.DUMMYFUNCTION("""COMPUTED_VALUE"""),17.8)</f>
        <v>17.8</v>
      </c>
      <c r="D578" s="1">
        <f>IFERROR(__xludf.DUMMYFUNCTION("""COMPUTED_VALUE"""),17.29)</f>
        <v>17.29</v>
      </c>
      <c r="E578" s="1">
        <f>IFERROR(__xludf.DUMMYFUNCTION("""COMPUTED_VALUE"""),17.58)</f>
        <v>17.58</v>
      </c>
      <c r="F578" s="1">
        <f>IFERROR(__xludf.DUMMYFUNCTION("""COMPUTED_VALUE"""),265298.0)</f>
        <v>265298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IFERROR(__xludf.DUMMYFUNCTION("""COMPUTED_VALUE"""),17.74)</f>
        <v>17.74</v>
      </c>
      <c r="C579" s="1">
        <f>IFERROR(__xludf.DUMMYFUNCTION("""COMPUTED_VALUE"""),17.74)</f>
        <v>17.74</v>
      </c>
      <c r="D579" s="1">
        <f>IFERROR(__xludf.DUMMYFUNCTION("""COMPUTED_VALUE"""),17.18)</f>
        <v>17.18</v>
      </c>
      <c r="E579" s="1">
        <f>IFERROR(__xludf.DUMMYFUNCTION("""COMPUTED_VALUE"""),17.48)</f>
        <v>17.48</v>
      </c>
      <c r="F579" s="1">
        <f>IFERROR(__xludf.DUMMYFUNCTION("""COMPUTED_VALUE"""),551590.0)</f>
        <v>551590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IFERROR(__xludf.DUMMYFUNCTION("""COMPUTED_VALUE"""),17.65)</f>
        <v>17.65</v>
      </c>
      <c r="C580" s="1">
        <f>IFERROR(__xludf.DUMMYFUNCTION("""COMPUTED_VALUE"""),17.92)</f>
        <v>17.92</v>
      </c>
      <c r="D580" s="1">
        <f>IFERROR(__xludf.DUMMYFUNCTION("""COMPUTED_VALUE"""),17.34)</f>
        <v>17.34</v>
      </c>
      <c r="E580" s="1">
        <f>IFERROR(__xludf.DUMMYFUNCTION("""COMPUTED_VALUE"""),17.51)</f>
        <v>17.51</v>
      </c>
      <c r="F580" s="1">
        <f>IFERROR(__xludf.DUMMYFUNCTION("""COMPUTED_VALUE"""),501163.0)</f>
        <v>501163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IFERROR(__xludf.DUMMYFUNCTION("""COMPUTED_VALUE"""),17.84)</f>
        <v>17.84</v>
      </c>
      <c r="C581" s="1">
        <f>IFERROR(__xludf.DUMMYFUNCTION("""COMPUTED_VALUE"""),17.99)</f>
        <v>17.99</v>
      </c>
      <c r="D581" s="1">
        <f>IFERROR(__xludf.DUMMYFUNCTION("""COMPUTED_VALUE"""),17.44)</f>
        <v>17.44</v>
      </c>
      <c r="E581" s="1">
        <f>IFERROR(__xludf.DUMMYFUNCTION("""COMPUTED_VALUE"""),17.52)</f>
        <v>17.52</v>
      </c>
      <c r="F581" s="1">
        <f>IFERROR(__xludf.DUMMYFUNCTION("""COMPUTED_VALUE"""),353877.0)</f>
        <v>353877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IFERROR(__xludf.DUMMYFUNCTION("""COMPUTED_VALUE"""),17.16)</f>
        <v>17.16</v>
      </c>
      <c r="C582" s="1">
        <f>IFERROR(__xludf.DUMMYFUNCTION("""COMPUTED_VALUE"""),17.25)</f>
        <v>17.25</v>
      </c>
      <c r="D582" s="1">
        <f>IFERROR(__xludf.DUMMYFUNCTION("""COMPUTED_VALUE"""),17.01)</f>
        <v>17.01</v>
      </c>
      <c r="E582" s="1">
        <f>IFERROR(__xludf.DUMMYFUNCTION("""COMPUTED_VALUE"""),17.18)</f>
        <v>17.18</v>
      </c>
      <c r="F582" s="1">
        <f>IFERROR(__xludf.DUMMYFUNCTION("""COMPUTED_VALUE"""),411311.0)</f>
        <v>411311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IFERROR(__xludf.DUMMYFUNCTION("""COMPUTED_VALUE"""),17.24)</f>
        <v>17.24</v>
      </c>
      <c r="C583" s="1">
        <f>IFERROR(__xludf.DUMMYFUNCTION("""COMPUTED_VALUE"""),17.54)</f>
        <v>17.54</v>
      </c>
      <c r="D583" s="1">
        <f>IFERROR(__xludf.DUMMYFUNCTION("""COMPUTED_VALUE"""),17.2)</f>
        <v>17.2</v>
      </c>
      <c r="E583" s="1">
        <f>IFERROR(__xludf.DUMMYFUNCTION("""COMPUTED_VALUE"""),17.4)</f>
        <v>17.4</v>
      </c>
      <c r="F583" s="1">
        <f>IFERROR(__xludf.DUMMYFUNCTION("""COMPUTED_VALUE"""),252080.0)</f>
        <v>252080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IFERROR(__xludf.DUMMYFUNCTION("""COMPUTED_VALUE"""),17.66)</f>
        <v>17.66</v>
      </c>
      <c r="C584" s="1">
        <f>IFERROR(__xludf.DUMMYFUNCTION("""COMPUTED_VALUE"""),17.86)</f>
        <v>17.86</v>
      </c>
      <c r="D584" s="1">
        <f>IFERROR(__xludf.DUMMYFUNCTION("""COMPUTED_VALUE"""),17.49)</f>
        <v>17.49</v>
      </c>
      <c r="E584" s="1">
        <f>IFERROR(__xludf.DUMMYFUNCTION("""COMPUTED_VALUE"""),17.73)</f>
        <v>17.73</v>
      </c>
      <c r="F584" s="1">
        <f>IFERROR(__xludf.DUMMYFUNCTION("""COMPUTED_VALUE"""),542519.0)</f>
        <v>542519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IFERROR(__xludf.DUMMYFUNCTION("""COMPUTED_VALUE"""),17.65)</f>
        <v>17.65</v>
      </c>
      <c r="C585" s="1">
        <f>IFERROR(__xludf.DUMMYFUNCTION("""COMPUTED_VALUE"""),17.83)</f>
        <v>17.83</v>
      </c>
      <c r="D585" s="1">
        <f>IFERROR(__xludf.DUMMYFUNCTION("""COMPUTED_VALUE"""),17.62)</f>
        <v>17.62</v>
      </c>
      <c r="E585" s="1">
        <f>IFERROR(__xludf.DUMMYFUNCTION("""COMPUTED_VALUE"""),17.64)</f>
        <v>17.64</v>
      </c>
      <c r="F585" s="1">
        <f>IFERROR(__xludf.DUMMYFUNCTION("""COMPUTED_VALUE"""),226941.0)</f>
        <v>226941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IFERROR(__xludf.DUMMYFUNCTION("""COMPUTED_VALUE"""),17.78)</f>
        <v>17.78</v>
      </c>
      <c r="C586" s="1">
        <f>IFERROR(__xludf.DUMMYFUNCTION("""COMPUTED_VALUE"""),17.83)</f>
        <v>17.83</v>
      </c>
      <c r="D586" s="1">
        <f>IFERROR(__xludf.DUMMYFUNCTION("""COMPUTED_VALUE"""),17.47)</f>
        <v>17.47</v>
      </c>
      <c r="E586" s="1">
        <f>IFERROR(__xludf.DUMMYFUNCTION("""COMPUTED_VALUE"""),17.73)</f>
        <v>17.73</v>
      </c>
      <c r="F586" s="1">
        <f>IFERROR(__xludf.DUMMYFUNCTION("""COMPUTED_VALUE"""),416859.0)</f>
        <v>416859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IFERROR(__xludf.DUMMYFUNCTION("""COMPUTED_VALUE"""),17.72)</f>
        <v>17.72</v>
      </c>
      <c r="C587" s="1">
        <f>IFERROR(__xludf.DUMMYFUNCTION("""COMPUTED_VALUE"""),17.72)</f>
        <v>17.72</v>
      </c>
      <c r="D587" s="1">
        <f>IFERROR(__xludf.DUMMYFUNCTION("""COMPUTED_VALUE"""),17.21)</f>
        <v>17.21</v>
      </c>
      <c r="E587" s="1">
        <f>IFERROR(__xludf.DUMMYFUNCTION("""COMPUTED_VALUE"""),17.22)</f>
        <v>17.22</v>
      </c>
      <c r="F587" s="1">
        <f>IFERROR(__xludf.DUMMYFUNCTION("""COMPUTED_VALUE"""),366256.0)</f>
        <v>366256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IFERROR(__xludf.DUMMYFUNCTION("""COMPUTED_VALUE"""),17.19)</f>
        <v>17.19</v>
      </c>
      <c r="C588" s="1">
        <f>IFERROR(__xludf.DUMMYFUNCTION("""COMPUTED_VALUE"""),17.65)</f>
        <v>17.65</v>
      </c>
      <c r="D588" s="1">
        <f>IFERROR(__xludf.DUMMYFUNCTION("""COMPUTED_VALUE"""),17.19)</f>
        <v>17.19</v>
      </c>
      <c r="E588" s="1">
        <f>IFERROR(__xludf.DUMMYFUNCTION("""COMPUTED_VALUE"""),17.22)</f>
        <v>17.22</v>
      </c>
      <c r="F588" s="1">
        <f>IFERROR(__xludf.DUMMYFUNCTION("""COMPUTED_VALUE"""),825944.0)</f>
        <v>825944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IFERROR(__xludf.DUMMYFUNCTION("""COMPUTED_VALUE"""),17.1)</f>
        <v>17.1</v>
      </c>
      <c r="C589" s="1">
        <f>IFERROR(__xludf.DUMMYFUNCTION("""COMPUTED_VALUE"""),17.44)</f>
        <v>17.44</v>
      </c>
      <c r="D589" s="1">
        <f>IFERROR(__xludf.DUMMYFUNCTION("""COMPUTED_VALUE"""),16.93)</f>
        <v>16.93</v>
      </c>
      <c r="E589" s="1">
        <f>IFERROR(__xludf.DUMMYFUNCTION("""COMPUTED_VALUE"""),17.3)</f>
        <v>17.3</v>
      </c>
      <c r="F589" s="1">
        <f>IFERROR(__xludf.DUMMYFUNCTION("""COMPUTED_VALUE"""),386919.0)</f>
        <v>386919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IFERROR(__xludf.DUMMYFUNCTION("""COMPUTED_VALUE"""),17.24)</f>
        <v>17.24</v>
      </c>
      <c r="C590" s="1">
        <f>IFERROR(__xludf.DUMMYFUNCTION("""COMPUTED_VALUE"""),17.37)</f>
        <v>17.37</v>
      </c>
      <c r="D590" s="1">
        <f>IFERROR(__xludf.DUMMYFUNCTION("""COMPUTED_VALUE"""),16.94)</f>
        <v>16.94</v>
      </c>
      <c r="E590" s="1">
        <f>IFERROR(__xludf.DUMMYFUNCTION("""COMPUTED_VALUE"""),16.99)</f>
        <v>16.99</v>
      </c>
      <c r="F590" s="1">
        <f>IFERROR(__xludf.DUMMYFUNCTION("""COMPUTED_VALUE"""),393563.0)</f>
        <v>393563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IFERROR(__xludf.DUMMYFUNCTION("""COMPUTED_VALUE"""),16.84)</f>
        <v>16.84</v>
      </c>
      <c r="C591" s="1">
        <f>IFERROR(__xludf.DUMMYFUNCTION("""COMPUTED_VALUE"""),16.92)</f>
        <v>16.92</v>
      </c>
      <c r="D591" s="1">
        <f>IFERROR(__xludf.DUMMYFUNCTION("""COMPUTED_VALUE"""),16.56)</f>
        <v>16.56</v>
      </c>
      <c r="E591" s="1">
        <f>IFERROR(__xludf.DUMMYFUNCTION("""COMPUTED_VALUE"""),16.65)</f>
        <v>16.65</v>
      </c>
      <c r="F591" s="1">
        <f>IFERROR(__xludf.DUMMYFUNCTION("""COMPUTED_VALUE"""),464990.0)</f>
        <v>464990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IFERROR(__xludf.DUMMYFUNCTION("""COMPUTED_VALUE"""),16.59)</f>
        <v>16.59</v>
      </c>
      <c r="C592" s="1">
        <f>IFERROR(__xludf.DUMMYFUNCTION("""COMPUTED_VALUE"""),17.04)</f>
        <v>17.04</v>
      </c>
      <c r="D592" s="1">
        <f>IFERROR(__xludf.DUMMYFUNCTION("""COMPUTED_VALUE"""),16.59)</f>
        <v>16.59</v>
      </c>
      <c r="E592" s="1">
        <f>IFERROR(__xludf.DUMMYFUNCTION("""COMPUTED_VALUE"""),16.91)</f>
        <v>16.91</v>
      </c>
      <c r="F592" s="1">
        <f>IFERROR(__xludf.DUMMYFUNCTION("""COMPUTED_VALUE"""),285225.0)</f>
        <v>285225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IFERROR(__xludf.DUMMYFUNCTION("""COMPUTED_VALUE"""),16.74)</f>
        <v>16.74</v>
      </c>
      <c r="C593" s="1">
        <f>IFERROR(__xludf.DUMMYFUNCTION("""COMPUTED_VALUE"""),16.91)</f>
        <v>16.91</v>
      </c>
      <c r="D593" s="1">
        <f>IFERROR(__xludf.DUMMYFUNCTION("""COMPUTED_VALUE"""),16.62)</f>
        <v>16.62</v>
      </c>
      <c r="E593" s="1">
        <f>IFERROR(__xludf.DUMMYFUNCTION("""COMPUTED_VALUE"""),16.86)</f>
        <v>16.86</v>
      </c>
      <c r="F593" s="1">
        <f>IFERROR(__xludf.DUMMYFUNCTION("""COMPUTED_VALUE"""),307795.0)</f>
        <v>307795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IFERROR(__xludf.DUMMYFUNCTION("""COMPUTED_VALUE"""),16.6)</f>
        <v>16.6</v>
      </c>
      <c r="C594" s="1">
        <f>IFERROR(__xludf.DUMMYFUNCTION("""COMPUTED_VALUE"""),16.75)</f>
        <v>16.75</v>
      </c>
      <c r="D594" s="1">
        <f>IFERROR(__xludf.DUMMYFUNCTION("""COMPUTED_VALUE"""),16.4)</f>
        <v>16.4</v>
      </c>
      <c r="E594" s="1">
        <f>IFERROR(__xludf.DUMMYFUNCTION("""COMPUTED_VALUE"""),16.72)</f>
        <v>16.72</v>
      </c>
      <c r="F594" s="1">
        <f>IFERROR(__xludf.DUMMYFUNCTION("""COMPUTED_VALUE"""),323974.0)</f>
        <v>323974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IFERROR(__xludf.DUMMYFUNCTION("""COMPUTED_VALUE"""),16.91)</f>
        <v>16.91</v>
      </c>
      <c r="C595" s="1">
        <f>IFERROR(__xludf.DUMMYFUNCTION("""COMPUTED_VALUE"""),17.11)</f>
        <v>17.11</v>
      </c>
      <c r="D595" s="1">
        <f>IFERROR(__xludf.DUMMYFUNCTION("""COMPUTED_VALUE"""),16.79)</f>
        <v>16.79</v>
      </c>
      <c r="E595" s="1">
        <f>IFERROR(__xludf.DUMMYFUNCTION("""COMPUTED_VALUE"""),17.04)</f>
        <v>17.04</v>
      </c>
      <c r="F595" s="1">
        <f>IFERROR(__xludf.DUMMYFUNCTION("""COMPUTED_VALUE"""),596828.0)</f>
        <v>596828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IFERROR(__xludf.DUMMYFUNCTION("""COMPUTED_VALUE"""),16.79)</f>
        <v>16.79</v>
      </c>
      <c r="C596" s="1">
        <f>IFERROR(__xludf.DUMMYFUNCTION("""COMPUTED_VALUE"""),17.11)</f>
        <v>17.11</v>
      </c>
      <c r="D596" s="1">
        <f>IFERROR(__xludf.DUMMYFUNCTION("""COMPUTED_VALUE"""),16.75)</f>
        <v>16.75</v>
      </c>
      <c r="E596" s="1">
        <f>IFERROR(__xludf.DUMMYFUNCTION("""COMPUTED_VALUE"""),16.99)</f>
        <v>16.99</v>
      </c>
      <c r="F596" s="1">
        <f>IFERROR(__xludf.DUMMYFUNCTION("""COMPUTED_VALUE"""),530408.0)</f>
        <v>530408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IFERROR(__xludf.DUMMYFUNCTION("""COMPUTED_VALUE"""),16.7)</f>
        <v>16.7</v>
      </c>
      <c r="C597" s="1">
        <f>IFERROR(__xludf.DUMMYFUNCTION("""COMPUTED_VALUE"""),16.85)</f>
        <v>16.85</v>
      </c>
      <c r="D597" s="1">
        <f>IFERROR(__xludf.DUMMYFUNCTION("""COMPUTED_VALUE"""),16.54)</f>
        <v>16.54</v>
      </c>
      <c r="E597" s="1">
        <f>IFERROR(__xludf.DUMMYFUNCTION("""COMPUTED_VALUE"""),16.62)</f>
        <v>16.62</v>
      </c>
      <c r="F597" s="1">
        <f>IFERROR(__xludf.DUMMYFUNCTION("""COMPUTED_VALUE"""),367339.0)</f>
        <v>367339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IFERROR(__xludf.DUMMYFUNCTION("""COMPUTED_VALUE"""),16.6)</f>
        <v>16.6</v>
      </c>
      <c r="C598" s="1">
        <f>IFERROR(__xludf.DUMMYFUNCTION("""COMPUTED_VALUE"""),16.89)</f>
        <v>16.89</v>
      </c>
      <c r="D598" s="1">
        <f>IFERROR(__xludf.DUMMYFUNCTION("""COMPUTED_VALUE"""),16.38)</f>
        <v>16.38</v>
      </c>
      <c r="E598" s="1">
        <f>IFERROR(__xludf.DUMMYFUNCTION("""COMPUTED_VALUE"""),16.58)</f>
        <v>16.58</v>
      </c>
      <c r="F598" s="1">
        <f>IFERROR(__xludf.DUMMYFUNCTION("""COMPUTED_VALUE"""),433608.0)</f>
        <v>433608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IFERROR(__xludf.DUMMYFUNCTION("""COMPUTED_VALUE"""),16.72)</f>
        <v>16.72</v>
      </c>
      <c r="C599" s="1">
        <f>IFERROR(__xludf.DUMMYFUNCTION("""COMPUTED_VALUE"""),16.87)</f>
        <v>16.87</v>
      </c>
      <c r="D599" s="1">
        <f>IFERROR(__xludf.DUMMYFUNCTION("""COMPUTED_VALUE"""),16.34)</f>
        <v>16.34</v>
      </c>
      <c r="E599" s="1">
        <f>IFERROR(__xludf.DUMMYFUNCTION("""COMPUTED_VALUE"""),16.34)</f>
        <v>16.34</v>
      </c>
      <c r="F599" s="1">
        <f>IFERROR(__xludf.DUMMYFUNCTION("""COMPUTED_VALUE"""),286130.0)</f>
        <v>286130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IFERROR(__xludf.DUMMYFUNCTION("""COMPUTED_VALUE"""),16.34)</f>
        <v>16.34</v>
      </c>
      <c r="C600" s="1">
        <f>IFERROR(__xludf.DUMMYFUNCTION("""COMPUTED_VALUE"""),16.42)</f>
        <v>16.42</v>
      </c>
      <c r="D600" s="1">
        <f>IFERROR(__xludf.DUMMYFUNCTION("""COMPUTED_VALUE"""),15.88)</f>
        <v>15.88</v>
      </c>
      <c r="E600" s="1">
        <f>IFERROR(__xludf.DUMMYFUNCTION("""COMPUTED_VALUE"""),15.89)</f>
        <v>15.89</v>
      </c>
      <c r="F600" s="1">
        <f>IFERROR(__xludf.DUMMYFUNCTION("""COMPUTED_VALUE"""),362124.0)</f>
        <v>362124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IFERROR(__xludf.DUMMYFUNCTION("""COMPUTED_VALUE"""),15.88)</f>
        <v>15.88</v>
      </c>
      <c r="C601" s="1">
        <f>IFERROR(__xludf.DUMMYFUNCTION("""COMPUTED_VALUE"""),16.14)</f>
        <v>16.14</v>
      </c>
      <c r="D601" s="1">
        <f>IFERROR(__xludf.DUMMYFUNCTION("""COMPUTED_VALUE"""),15.63)</f>
        <v>15.63</v>
      </c>
      <c r="E601" s="1">
        <f>IFERROR(__xludf.DUMMYFUNCTION("""COMPUTED_VALUE"""),15.67)</f>
        <v>15.67</v>
      </c>
      <c r="F601" s="1">
        <f>IFERROR(__xludf.DUMMYFUNCTION("""COMPUTED_VALUE"""),323854.0)</f>
        <v>323854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IFERROR(__xludf.DUMMYFUNCTION("""COMPUTED_VALUE"""),15.74)</f>
        <v>15.74</v>
      </c>
      <c r="C602" s="1">
        <f>IFERROR(__xludf.DUMMYFUNCTION("""COMPUTED_VALUE"""),16.36)</f>
        <v>16.36</v>
      </c>
      <c r="D602" s="1">
        <f>IFERROR(__xludf.DUMMYFUNCTION("""COMPUTED_VALUE"""),15.68)</f>
        <v>15.68</v>
      </c>
      <c r="E602" s="1">
        <f>IFERROR(__xludf.DUMMYFUNCTION("""COMPUTED_VALUE"""),16.35)</f>
        <v>16.35</v>
      </c>
      <c r="F602" s="1">
        <f>IFERROR(__xludf.DUMMYFUNCTION("""COMPUTED_VALUE"""),525059.0)</f>
        <v>525059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IFERROR(__xludf.DUMMYFUNCTION("""COMPUTED_VALUE"""),16.41)</f>
        <v>16.41</v>
      </c>
      <c r="C603" s="1">
        <f>IFERROR(__xludf.DUMMYFUNCTION("""COMPUTED_VALUE"""),16.69)</f>
        <v>16.69</v>
      </c>
      <c r="D603" s="1">
        <f>IFERROR(__xludf.DUMMYFUNCTION("""COMPUTED_VALUE"""),16.23)</f>
        <v>16.23</v>
      </c>
      <c r="E603" s="1">
        <f>IFERROR(__xludf.DUMMYFUNCTION("""COMPUTED_VALUE"""),16.36)</f>
        <v>16.36</v>
      </c>
      <c r="F603" s="1">
        <f>IFERROR(__xludf.DUMMYFUNCTION("""COMPUTED_VALUE"""),344419.0)</f>
        <v>344419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IFERROR(__xludf.DUMMYFUNCTION("""COMPUTED_VALUE"""),16.16)</f>
        <v>16.16</v>
      </c>
      <c r="C604" s="1">
        <f>IFERROR(__xludf.DUMMYFUNCTION("""COMPUTED_VALUE"""),16.59)</f>
        <v>16.59</v>
      </c>
      <c r="D604" s="1">
        <f>IFERROR(__xludf.DUMMYFUNCTION("""COMPUTED_VALUE"""),16.03)</f>
        <v>16.03</v>
      </c>
      <c r="E604" s="1">
        <f>IFERROR(__xludf.DUMMYFUNCTION("""COMPUTED_VALUE"""),16.53)</f>
        <v>16.53</v>
      </c>
      <c r="F604" s="1">
        <f>IFERROR(__xludf.DUMMYFUNCTION("""COMPUTED_VALUE"""),247074.0)</f>
        <v>247074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IFERROR(__xludf.DUMMYFUNCTION("""COMPUTED_VALUE"""),16.53)</f>
        <v>16.53</v>
      </c>
      <c r="C605" s="1">
        <f>IFERROR(__xludf.DUMMYFUNCTION("""COMPUTED_VALUE"""),16.86)</f>
        <v>16.86</v>
      </c>
      <c r="D605" s="1">
        <f>IFERROR(__xludf.DUMMYFUNCTION("""COMPUTED_VALUE"""),16.37)</f>
        <v>16.37</v>
      </c>
      <c r="E605" s="1">
        <f>IFERROR(__xludf.DUMMYFUNCTION("""COMPUTED_VALUE"""),16.86)</f>
        <v>16.86</v>
      </c>
      <c r="F605" s="1">
        <f>IFERROR(__xludf.DUMMYFUNCTION("""COMPUTED_VALUE"""),344978.0)</f>
        <v>344978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IFERROR(__xludf.DUMMYFUNCTION("""COMPUTED_VALUE"""),16.9)</f>
        <v>16.9</v>
      </c>
      <c r="C606" s="1">
        <f>IFERROR(__xludf.DUMMYFUNCTION("""COMPUTED_VALUE"""),17.02)</f>
        <v>17.02</v>
      </c>
      <c r="D606" s="1">
        <f>IFERROR(__xludf.DUMMYFUNCTION("""COMPUTED_VALUE"""),16.62)</f>
        <v>16.62</v>
      </c>
      <c r="E606" s="1">
        <f>IFERROR(__xludf.DUMMYFUNCTION("""COMPUTED_VALUE"""),16.68)</f>
        <v>16.68</v>
      </c>
      <c r="F606" s="1">
        <f>IFERROR(__xludf.DUMMYFUNCTION("""COMPUTED_VALUE"""),261624.0)</f>
        <v>261624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IFERROR(__xludf.DUMMYFUNCTION("""COMPUTED_VALUE"""),16.82)</f>
        <v>16.82</v>
      </c>
      <c r="C607" s="1">
        <f>IFERROR(__xludf.DUMMYFUNCTION("""COMPUTED_VALUE"""),16.99)</f>
        <v>16.99</v>
      </c>
      <c r="D607" s="1">
        <f>IFERROR(__xludf.DUMMYFUNCTION("""COMPUTED_VALUE"""),16.74)</f>
        <v>16.74</v>
      </c>
      <c r="E607" s="1">
        <f>IFERROR(__xludf.DUMMYFUNCTION("""COMPUTED_VALUE"""),16.94)</f>
        <v>16.94</v>
      </c>
      <c r="F607" s="1">
        <f>IFERROR(__xludf.DUMMYFUNCTION("""COMPUTED_VALUE"""),227965.0)</f>
        <v>227965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IFERROR(__xludf.DUMMYFUNCTION("""COMPUTED_VALUE"""),16.77)</f>
        <v>16.77</v>
      </c>
      <c r="C608" s="1">
        <f>IFERROR(__xludf.DUMMYFUNCTION("""COMPUTED_VALUE"""),16.81)</f>
        <v>16.81</v>
      </c>
      <c r="D608" s="1">
        <f>IFERROR(__xludf.DUMMYFUNCTION("""COMPUTED_VALUE"""),16.39)</f>
        <v>16.39</v>
      </c>
      <c r="E608" s="1">
        <f>IFERROR(__xludf.DUMMYFUNCTION("""COMPUTED_VALUE"""),16.42)</f>
        <v>16.42</v>
      </c>
      <c r="F608" s="1">
        <f>IFERROR(__xludf.DUMMYFUNCTION("""COMPUTED_VALUE"""),164367.0)</f>
        <v>164367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IFERROR(__xludf.DUMMYFUNCTION("""COMPUTED_VALUE"""),16.41)</f>
        <v>16.41</v>
      </c>
      <c r="C609" s="1">
        <f>IFERROR(__xludf.DUMMYFUNCTION("""COMPUTED_VALUE"""),16.76)</f>
        <v>16.76</v>
      </c>
      <c r="D609" s="1">
        <f>IFERROR(__xludf.DUMMYFUNCTION("""COMPUTED_VALUE"""),16.15)</f>
        <v>16.15</v>
      </c>
      <c r="E609" s="1">
        <f>IFERROR(__xludf.DUMMYFUNCTION("""COMPUTED_VALUE"""),16.58)</f>
        <v>16.58</v>
      </c>
      <c r="F609" s="1">
        <f>IFERROR(__xludf.DUMMYFUNCTION("""COMPUTED_VALUE"""),409633.0)</f>
        <v>409633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IFERROR(__xludf.DUMMYFUNCTION("""COMPUTED_VALUE"""),16.07)</f>
        <v>16.07</v>
      </c>
      <c r="C610" s="1">
        <f>IFERROR(__xludf.DUMMYFUNCTION("""COMPUTED_VALUE"""),16.33)</f>
        <v>16.33</v>
      </c>
      <c r="D610" s="1">
        <f>IFERROR(__xludf.DUMMYFUNCTION("""COMPUTED_VALUE"""),15.65)</f>
        <v>15.65</v>
      </c>
      <c r="E610" s="1">
        <f>IFERROR(__xludf.DUMMYFUNCTION("""COMPUTED_VALUE"""),15.66)</f>
        <v>15.66</v>
      </c>
      <c r="F610" s="1">
        <f>IFERROR(__xludf.DUMMYFUNCTION("""COMPUTED_VALUE"""),301314.0)</f>
        <v>301314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IFERROR(__xludf.DUMMYFUNCTION("""COMPUTED_VALUE"""),15.76)</f>
        <v>15.76</v>
      </c>
      <c r="C611" s="1">
        <f>IFERROR(__xludf.DUMMYFUNCTION("""COMPUTED_VALUE"""),15.79)</f>
        <v>15.79</v>
      </c>
      <c r="D611" s="1">
        <f>IFERROR(__xludf.DUMMYFUNCTION("""COMPUTED_VALUE"""),15.25)</f>
        <v>15.25</v>
      </c>
      <c r="E611" s="1">
        <f>IFERROR(__xludf.DUMMYFUNCTION("""COMPUTED_VALUE"""),15.36)</f>
        <v>15.36</v>
      </c>
      <c r="F611" s="1">
        <f>IFERROR(__xludf.DUMMYFUNCTION("""COMPUTED_VALUE"""),273782.0)</f>
        <v>273782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IFERROR(__xludf.DUMMYFUNCTION("""COMPUTED_VALUE"""),15.24)</f>
        <v>15.24</v>
      </c>
      <c r="C612" s="1">
        <f>IFERROR(__xludf.DUMMYFUNCTION("""COMPUTED_VALUE"""),15.48)</f>
        <v>15.48</v>
      </c>
      <c r="D612" s="1">
        <f>IFERROR(__xludf.DUMMYFUNCTION("""COMPUTED_VALUE"""),15.1)</f>
        <v>15.1</v>
      </c>
      <c r="E612" s="1">
        <f>IFERROR(__xludf.DUMMYFUNCTION("""COMPUTED_VALUE"""),15.18)</f>
        <v>15.18</v>
      </c>
      <c r="F612" s="1">
        <f>IFERROR(__xludf.DUMMYFUNCTION("""COMPUTED_VALUE"""),289804.0)</f>
        <v>289804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IFERROR(__xludf.DUMMYFUNCTION("""COMPUTED_VALUE"""),15.38)</f>
        <v>15.38</v>
      </c>
      <c r="C613" s="1">
        <f>IFERROR(__xludf.DUMMYFUNCTION("""COMPUTED_VALUE"""),15.67)</f>
        <v>15.67</v>
      </c>
      <c r="D613" s="1">
        <f>IFERROR(__xludf.DUMMYFUNCTION("""COMPUTED_VALUE"""),15.21)</f>
        <v>15.21</v>
      </c>
      <c r="E613" s="1">
        <f>IFERROR(__xludf.DUMMYFUNCTION("""COMPUTED_VALUE"""),15.67)</f>
        <v>15.67</v>
      </c>
      <c r="F613" s="1">
        <f>IFERROR(__xludf.DUMMYFUNCTION("""COMPUTED_VALUE"""),242935.0)</f>
        <v>242935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IFERROR(__xludf.DUMMYFUNCTION("""COMPUTED_VALUE"""),15.98)</f>
        <v>15.98</v>
      </c>
      <c r="C614" s="1">
        <f>IFERROR(__xludf.DUMMYFUNCTION("""COMPUTED_VALUE"""),16.02)</f>
        <v>16.02</v>
      </c>
      <c r="D614" s="1">
        <f>IFERROR(__xludf.DUMMYFUNCTION("""COMPUTED_VALUE"""),15.56)</f>
        <v>15.56</v>
      </c>
      <c r="E614" s="1">
        <f>IFERROR(__xludf.DUMMYFUNCTION("""COMPUTED_VALUE"""),15.58)</f>
        <v>15.58</v>
      </c>
      <c r="F614" s="1">
        <f>IFERROR(__xludf.DUMMYFUNCTION("""COMPUTED_VALUE"""),282489.0)</f>
        <v>282489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IFERROR(__xludf.DUMMYFUNCTION("""COMPUTED_VALUE"""),15.52)</f>
        <v>15.52</v>
      </c>
      <c r="C615" s="1">
        <f>IFERROR(__xludf.DUMMYFUNCTION("""COMPUTED_VALUE"""),15.92)</f>
        <v>15.92</v>
      </c>
      <c r="D615" s="1">
        <f>IFERROR(__xludf.DUMMYFUNCTION("""COMPUTED_VALUE"""),15.4)</f>
        <v>15.4</v>
      </c>
      <c r="E615" s="1">
        <f>IFERROR(__xludf.DUMMYFUNCTION("""COMPUTED_VALUE"""),15.79)</f>
        <v>15.79</v>
      </c>
      <c r="F615" s="1">
        <f>IFERROR(__xludf.DUMMYFUNCTION("""COMPUTED_VALUE"""),222065.0)</f>
        <v>222065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IFERROR(__xludf.DUMMYFUNCTION("""COMPUTED_VALUE"""),16.0)</f>
        <v>16</v>
      </c>
      <c r="C616" s="1">
        <f>IFERROR(__xludf.DUMMYFUNCTION("""COMPUTED_VALUE"""),16.0)</f>
        <v>16</v>
      </c>
      <c r="D616" s="1">
        <f>IFERROR(__xludf.DUMMYFUNCTION("""COMPUTED_VALUE"""),15.53)</f>
        <v>15.53</v>
      </c>
      <c r="E616" s="1">
        <f>IFERROR(__xludf.DUMMYFUNCTION("""COMPUTED_VALUE"""),15.54)</f>
        <v>15.54</v>
      </c>
      <c r="F616" s="1">
        <f>IFERROR(__xludf.DUMMYFUNCTION("""COMPUTED_VALUE"""),578611.0)</f>
        <v>578611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IFERROR(__xludf.DUMMYFUNCTION("""COMPUTED_VALUE"""),15.62)</f>
        <v>15.62</v>
      </c>
      <c r="C617" s="1">
        <f>IFERROR(__xludf.DUMMYFUNCTION("""COMPUTED_VALUE"""),16.13)</f>
        <v>16.13</v>
      </c>
      <c r="D617" s="1">
        <f>IFERROR(__xludf.DUMMYFUNCTION("""COMPUTED_VALUE"""),15.52)</f>
        <v>15.52</v>
      </c>
      <c r="E617" s="1">
        <f>IFERROR(__xludf.DUMMYFUNCTION("""COMPUTED_VALUE"""),16.07)</f>
        <v>16.07</v>
      </c>
      <c r="F617" s="1">
        <f>IFERROR(__xludf.DUMMYFUNCTION("""COMPUTED_VALUE"""),777676.0)</f>
        <v>777676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IFERROR(__xludf.DUMMYFUNCTION("""COMPUTED_VALUE"""),15.99)</f>
        <v>15.99</v>
      </c>
      <c r="C618" s="1">
        <f>IFERROR(__xludf.DUMMYFUNCTION("""COMPUTED_VALUE"""),16.44)</f>
        <v>16.44</v>
      </c>
      <c r="D618" s="1">
        <f>IFERROR(__xludf.DUMMYFUNCTION("""COMPUTED_VALUE"""),15.99)</f>
        <v>15.99</v>
      </c>
      <c r="E618" s="1">
        <f>IFERROR(__xludf.DUMMYFUNCTION("""COMPUTED_VALUE"""),16.05)</f>
        <v>16.05</v>
      </c>
      <c r="F618" s="1">
        <f>IFERROR(__xludf.DUMMYFUNCTION("""COMPUTED_VALUE"""),490940.0)</f>
        <v>490940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IFERROR(__xludf.DUMMYFUNCTION("""COMPUTED_VALUE"""),16.05)</f>
        <v>16.05</v>
      </c>
      <c r="C619" s="1">
        <f>IFERROR(__xludf.DUMMYFUNCTION("""COMPUTED_VALUE"""),16.34)</f>
        <v>16.34</v>
      </c>
      <c r="D619" s="1">
        <f>IFERROR(__xludf.DUMMYFUNCTION("""COMPUTED_VALUE"""),15.93)</f>
        <v>15.93</v>
      </c>
      <c r="E619" s="1">
        <f>IFERROR(__xludf.DUMMYFUNCTION("""COMPUTED_VALUE"""),16.2)</f>
        <v>16.2</v>
      </c>
      <c r="F619" s="1">
        <f>IFERROR(__xludf.DUMMYFUNCTION("""COMPUTED_VALUE"""),264992.0)</f>
        <v>264992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IFERROR(__xludf.DUMMYFUNCTION("""COMPUTED_VALUE"""),16.19)</f>
        <v>16.19</v>
      </c>
      <c r="C620" s="1">
        <f>IFERROR(__xludf.DUMMYFUNCTION("""COMPUTED_VALUE"""),16.53)</f>
        <v>16.53</v>
      </c>
      <c r="D620" s="1">
        <f>IFERROR(__xludf.DUMMYFUNCTION("""COMPUTED_VALUE"""),16.13)</f>
        <v>16.13</v>
      </c>
      <c r="E620" s="1">
        <f>IFERROR(__xludf.DUMMYFUNCTION("""COMPUTED_VALUE"""),16.49)</f>
        <v>16.49</v>
      </c>
      <c r="F620" s="1">
        <f>IFERROR(__xludf.DUMMYFUNCTION("""COMPUTED_VALUE"""),693811.0)</f>
        <v>693811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IFERROR(__xludf.DUMMYFUNCTION("""COMPUTED_VALUE"""),16.36)</f>
        <v>16.36</v>
      </c>
      <c r="C621" s="1">
        <f>IFERROR(__xludf.DUMMYFUNCTION("""COMPUTED_VALUE"""),16.75)</f>
        <v>16.75</v>
      </c>
      <c r="D621" s="1">
        <f>IFERROR(__xludf.DUMMYFUNCTION("""COMPUTED_VALUE"""),16.31)</f>
        <v>16.31</v>
      </c>
      <c r="E621" s="1">
        <f>IFERROR(__xludf.DUMMYFUNCTION("""COMPUTED_VALUE"""),16.39)</f>
        <v>16.39</v>
      </c>
      <c r="F621" s="1">
        <f>IFERROR(__xludf.DUMMYFUNCTION("""COMPUTED_VALUE"""),304900.0)</f>
        <v>304900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IFERROR(__xludf.DUMMYFUNCTION("""COMPUTED_VALUE"""),16.47)</f>
        <v>16.47</v>
      </c>
      <c r="C622" s="1">
        <f>IFERROR(__xludf.DUMMYFUNCTION("""COMPUTED_VALUE"""),16.68)</f>
        <v>16.68</v>
      </c>
      <c r="D622" s="1">
        <f>IFERROR(__xludf.DUMMYFUNCTION("""COMPUTED_VALUE"""),16.39)</f>
        <v>16.39</v>
      </c>
      <c r="E622" s="1">
        <f>IFERROR(__xludf.DUMMYFUNCTION("""COMPUTED_VALUE"""),16.54)</f>
        <v>16.54</v>
      </c>
      <c r="F622" s="1">
        <f>IFERROR(__xludf.DUMMYFUNCTION("""COMPUTED_VALUE"""),323964.0)</f>
        <v>323964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IFERROR(__xludf.DUMMYFUNCTION("""COMPUTED_VALUE"""),16.5)</f>
        <v>16.5</v>
      </c>
      <c r="C623" s="1">
        <f>IFERROR(__xludf.DUMMYFUNCTION("""COMPUTED_VALUE"""),16.54)</f>
        <v>16.54</v>
      </c>
      <c r="D623" s="1">
        <f>IFERROR(__xludf.DUMMYFUNCTION("""COMPUTED_VALUE"""),16.21)</f>
        <v>16.21</v>
      </c>
      <c r="E623" s="1">
        <f>IFERROR(__xludf.DUMMYFUNCTION("""COMPUTED_VALUE"""),16.3)</f>
        <v>16.3</v>
      </c>
      <c r="F623" s="1">
        <f>IFERROR(__xludf.DUMMYFUNCTION("""COMPUTED_VALUE"""),351202.0)</f>
        <v>351202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IFERROR(__xludf.DUMMYFUNCTION("""COMPUTED_VALUE"""),16.25)</f>
        <v>16.25</v>
      </c>
      <c r="C624" s="1">
        <f>IFERROR(__xludf.DUMMYFUNCTION("""COMPUTED_VALUE"""),16.32)</f>
        <v>16.32</v>
      </c>
      <c r="D624" s="1">
        <f>IFERROR(__xludf.DUMMYFUNCTION("""COMPUTED_VALUE"""),15.51)</f>
        <v>15.51</v>
      </c>
      <c r="E624" s="1">
        <f>IFERROR(__xludf.DUMMYFUNCTION("""COMPUTED_VALUE"""),15.54)</f>
        <v>15.54</v>
      </c>
      <c r="F624" s="1">
        <f>IFERROR(__xludf.DUMMYFUNCTION("""COMPUTED_VALUE"""),504908.0)</f>
        <v>504908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IFERROR(__xludf.DUMMYFUNCTION("""COMPUTED_VALUE"""),15.73)</f>
        <v>15.73</v>
      </c>
      <c r="C625" s="1">
        <f>IFERROR(__xludf.DUMMYFUNCTION("""COMPUTED_VALUE"""),16.0)</f>
        <v>16</v>
      </c>
      <c r="D625" s="1">
        <f>IFERROR(__xludf.DUMMYFUNCTION("""COMPUTED_VALUE"""),15.57)</f>
        <v>15.57</v>
      </c>
      <c r="E625" s="1">
        <f>IFERROR(__xludf.DUMMYFUNCTION("""COMPUTED_VALUE"""),15.9)</f>
        <v>15.9</v>
      </c>
      <c r="F625" s="1">
        <f>IFERROR(__xludf.DUMMYFUNCTION("""COMPUTED_VALUE"""),1370556.0)</f>
        <v>1370556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IFERROR(__xludf.DUMMYFUNCTION("""COMPUTED_VALUE"""),15.56)</f>
        <v>15.56</v>
      </c>
      <c r="C626" s="1">
        <f>IFERROR(__xludf.DUMMYFUNCTION("""COMPUTED_VALUE"""),15.76)</f>
        <v>15.76</v>
      </c>
      <c r="D626" s="1">
        <f>IFERROR(__xludf.DUMMYFUNCTION("""COMPUTED_VALUE"""),15.4)</f>
        <v>15.4</v>
      </c>
      <c r="E626" s="1">
        <f>IFERROR(__xludf.DUMMYFUNCTION("""COMPUTED_VALUE"""),15.63)</f>
        <v>15.63</v>
      </c>
      <c r="F626" s="1">
        <f>IFERROR(__xludf.DUMMYFUNCTION("""COMPUTED_VALUE"""),596440.0)</f>
        <v>596440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IFERROR(__xludf.DUMMYFUNCTION("""COMPUTED_VALUE"""),15.68)</f>
        <v>15.68</v>
      </c>
      <c r="C627" s="1">
        <f>IFERROR(__xludf.DUMMYFUNCTION("""COMPUTED_VALUE"""),15.95)</f>
        <v>15.95</v>
      </c>
      <c r="D627" s="1">
        <f>IFERROR(__xludf.DUMMYFUNCTION("""COMPUTED_VALUE"""),15.61)</f>
        <v>15.61</v>
      </c>
      <c r="E627" s="1">
        <f>IFERROR(__xludf.DUMMYFUNCTION("""COMPUTED_VALUE"""),15.79)</f>
        <v>15.79</v>
      </c>
      <c r="F627" s="1">
        <f>IFERROR(__xludf.DUMMYFUNCTION("""COMPUTED_VALUE"""),415910.0)</f>
        <v>415910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IFERROR(__xludf.DUMMYFUNCTION("""COMPUTED_VALUE"""),15.84)</f>
        <v>15.84</v>
      </c>
      <c r="C628" s="1">
        <f>IFERROR(__xludf.DUMMYFUNCTION("""COMPUTED_VALUE"""),16.23)</f>
        <v>16.23</v>
      </c>
      <c r="D628" s="1">
        <f>IFERROR(__xludf.DUMMYFUNCTION("""COMPUTED_VALUE"""),15.73)</f>
        <v>15.73</v>
      </c>
      <c r="E628" s="1">
        <f>IFERROR(__xludf.DUMMYFUNCTION("""COMPUTED_VALUE"""),16.2)</f>
        <v>16.2</v>
      </c>
      <c r="F628" s="1">
        <f>IFERROR(__xludf.DUMMYFUNCTION("""COMPUTED_VALUE"""),324657.0)</f>
        <v>324657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IFERROR(__xludf.DUMMYFUNCTION("""COMPUTED_VALUE"""),15.97)</f>
        <v>15.97</v>
      </c>
      <c r="C629" s="1">
        <f>IFERROR(__xludf.DUMMYFUNCTION("""COMPUTED_VALUE"""),16.21)</f>
        <v>16.21</v>
      </c>
      <c r="D629" s="1">
        <f>IFERROR(__xludf.DUMMYFUNCTION("""COMPUTED_VALUE"""),15.84)</f>
        <v>15.84</v>
      </c>
      <c r="E629" s="1">
        <f>IFERROR(__xludf.DUMMYFUNCTION("""COMPUTED_VALUE"""),16.21)</f>
        <v>16.21</v>
      </c>
      <c r="F629" s="1">
        <f>IFERROR(__xludf.DUMMYFUNCTION("""COMPUTED_VALUE"""),361773.0)</f>
        <v>361773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IFERROR(__xludf.DUMMYFUNCTION("""COMPUTED_VALUE"""),16.66)</f>
        <v>16.66</v>
      </c>
      <c r="C630" s="1">
        <f>IFERROR(__xludf.DUMMYFUNCTION("""COMPUTED_VALUE"""),16.7)</f>
        <v>16.7</v>
      </c>
      <c r="D630" s="1">
        <f>IFERROR(__xludf.DUMMYFUNCTION("""COMPUTED_VALUE"""),16.33)</f>
        <v>16.33</v>
      </c>
      <c r="E630" s="1">
        <f>IFERROR(__xludf.DUMMYFUNCTION("""COMPUTED_VALUE"""),16.51)</f>
        <v>16.51</v>
      </c>
      <c r="F630" s="1">
        <f>IFERROR(__xludf.DUMMYFUNCTION("""COMPUTED_VALUE"""),441157.0)</f>
        <v>441157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IFERROR(__xludf.DUMMYFUNCTION("""COMPUTED_VALUE"""),16.58)</f>
        <v>16.58</v>
      </c>
      <c r="C631" s="1">
        <f>IFERROR(__xludf.DUMMYFUNCTION("""COMPUTED_VALUE"""),16.68)</f>
        <v>16.68</v>
      </c>
      <c r="D631" s="1">
        <f>IFERROR(__xludf.DUMMYFUNCTION("""COMPUTED_VALUE"""),16.29)</f>
        <v>16.29</v>
      </c>
      <c r="E631" s="1">
        <f>IFERROR(__xludf.DUMMYFUNCTION("""COMPUTED_VALUE"""),16.65)</f>
        <v>16.65</v>
      </c>
      <c r="F631" s="1">
        <f>IFERROR(__xludf.DUMMYFUNCTION("""COMPUTED_VALUE"""),304177.0)</f>
        <v>304177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IFERROR(__xludf.DUMMYFUNCTION("""COMPUTED_VALUE"""),16.63)</f>
        <v>16.63</v>
      </c>
      <c r="C632" s="1">
        <f>IFERROR(__xludf.DUMMYFUNCTION("""COMPUTED_VALUE"""),16.7)</f>
        <v>16.7</v>
      </c>
      <c r="D632" s="1">
        <f>IFERROR(__xludf.DUMMYFUNCTION("""COMPUTED_VALUE"""),16.49)</f>
        <v>16.49</v>
      </c>
      <c r="E632" s="1">
        <f>IFERROR(__xludf.DUMMYFUNCTION("""COMPUTED_VALUE"""),16.63)</f>
        <v>16.63</v>
      </c>
      <c r="F632" s="1">
        <f>IFERROR(__xludf.DUMMYFUNCTION("""COMPUTED_VALUE"""),181872.0)</f>
        <v>181872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IFERROR(__xludf.DUMMYFUNCTION("""COMPUTED_VALUE"""),16.57)</f>
        <v>16.57</v>
      </c>
      <c r="C633" s="1">
        <f>IFERROR(__xludf.DUMMYFUNCTION("""COMPUTED_VALUE"""),16.77)</f>
        <v>16.77</v>
      </c>
      <c r="D633" s="1">
        <f>IFERROR(__xludf.DUMMYFUNCTION("""COMPUTED_VALUE"""),16.53)</f>
        <v>16.53</v>
      </c>
      <c r="E633" s="1">
        <f>IFERROR(__xludf.DUMMYFUNCTION("""COMPUTED_VALUE"""),16.72)</f>
        <v>16.72</v>
      </c>
      <c r="F633" s="1">
        <f>IFERROR(__xludf.DUMMYFUNCTION("""COMPUTED_VALUE"""),268890.0)</f>
        <v>268890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IFERROR(__xludf.DUMMYFUNCTION("""COMPUTED_VALUE"""),16.51)</f>
        <v>16.51</v>
      </c>
      <c r="C634" s="1">
        <f>IFERROR(__xludf.DUMMYFUNCTION("""COMPUTED_VALUE"""),16.68)</f>
        <v>16.68</v>
      </c>
      <c r="D634" s="1">
        <f>IFERROR(__xludf.DUMMYFUNCTION("""COMPUTED_VALUE"""),16.49)</f>
        <v>16.49</v>
      </c>
      <c r="E634" s="1">
        <f>IFERROR(__xludf.DUMMYFUNCTION("""COMPUTED_VALUE"""),16.53)</f>
        <v>16.53</v>
      </c>
      <c r="F634" s="1">
        <f>IFERROR(__xludf.DUMMYFUNCTION("""COMPUTED_VALUE"""),226122.0)</f>
        <v>226122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IFERROR(__xludf.DUMMYFUNCTION("""COMPUTED_VALUE"""),16.44)</f>
        <v>16.44</v>
      </c>
      <c r="C635" s="1">
        <f>IFERROR(__xludf.DUMMYFUNCTION("""COMPUTED_VALUE"""),16.64)</f>
        <v>16.64</v>
      </c>
      <c r="D635" s="1">
        <f>IFERROR(__xludf.DUMMYFUNCTION("""COMPUTED_VALUE"""),16.14)</f>
        <v>16.14</v>
      </c>
      <c r="E635" s="1">
        <f>IFERROR(__xludf.DUMMYFUNCTION("""COMPUTED_VALUE"""),16.37)</f>
        <v>16.37</v>
      </c>
      <c r="F635" s="1">
        <f>IFERROR(__xludf.DUMMYFUNCTION("""COMPUTED_VALUE"""),247807.0)</f>
        <v>247807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IFERROR(__xludf.DUMMYFUNCTION("""COMPUTED_VALUE"""),16.55)</f>
        <v>16.55</v>
      </c>
      <c r="C636" s="1">
        <f>IFERROR(__xludf.DUMMYFUNCTION("""COMPUTED_VALUE"""),16.65)</f>
        <v>16.65</v>
      </c>
      <c r="D636" s="1">
        <f>IFERROR(__xludf.DUMMYFUNCTION("""COMPUTED_VALUE"""),16.1)</f>
        <v>16.1</v>
      </c>
      <c r="E636" s="1">
        <f>IFERROR(__xludf.DUMMYFUNCTION("""COMPUTED_VALUE"""),16.22)</f>
        <v>16.22</v>
      </c>
      <c r="F636" s="1">
        <f>IFERROR(__xludf.DUMMYFUNCTION("""COMPUTED_VALUE"""),199300.0)</f>
        <v>199300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IFERROR(__xludf.DUMMYFUNCTION("""COMPUTED_VALUE"""),16.24)</f>
        <v>16.24</v>
      </c>
      <c r="C637" s="1">
        <f>IFERROR(__xludf.DUMMYFUNCTION("""COMPUTED_VALUE"""),16.52)</f>
        <v>16.52</v>
      </c>
      <c r="D637" s="1">
        <f>IFERROR(__xludf.DUMMYFUNCTION("""COMPUTED_VALUE"""),16.18)</f>
        <v>16.18</v>
      </c>
      <c r="E637" s="1">
        <f>IFERROR(__xludf.DUMMYFUNCTION("""COMPUTED_VALUE"""),16.51)</f>
        <v>16.51</v>
      </c>
      <c r="F637" s="1">
        <f>IFERROR(__xludf.DUMMYFUNCTION("""COMPUTED_VALUE"""),240806.0)</f>
        <v>240806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IFERROR(__xludf.DUMMYFUNCTION("""COMPUTED_VALUE"""),16.33)</f>
        <v>16.33</v>
      </c>
      <c r="C638" s="1">
        <f>IFERROR(__xludf.DUMMYFUNCTION("""COMPUTED_VALUE"""),16.47)</f>
        <v>16.47</v>
      </c>
      <c r="D638" s="1">
        <f>IFERROR(__xludf.DUMMYFUNCTION("""COMPUTED_VALUE"""),16.28)</f>
        <v>16.28</v>
      </c>
      <c r="E638" s="1">
        <f>IFERROR(__xludf.DUMMYFUNCTION("""COMPUTED_VALUE"""),16.37)</f>
        <v>16.37</v>
      </c>
      <c r="F638" s="1">
        <f>IFERROR(__xludf.DUMMYFUNCTION("""COMPUTED_VALUE"""),314679.0)</f>
        <v>314679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IFERROR(__xludf.DUMMYFUNCTION("""COMPUTED_VALUE"""),16.38)</f>
        <v>16.38</v>
      </c>
      <c r="C639" s="1">
        <f>IFERROR(__xludf.DUMMYFUNCTION("""COMPUTED_VALUE"""),16.91)</f>
        <v>16.91</v>
      </c>
      <c r="D639" s="1">
        <f>IFERROR(__xludf.DUMMYFUNCTION("""COMPUTED_VALUE"""),16.26)</f>
        <v>16.26</v>
      </c>
      <c r="E639" s="1">
        <f>IFERROR(__xludf.DUMMYFUNCTION("""COMPUTED_VALUE"""),16.89)</f>
        <v>16.89</v>
      </c>
      <c r="F639" s="1">
        <f>IFERROR(__xludf.DUMMYFUNCTION("""COMPUTED_VALUE"""),461834.0)</f>
        <v>461834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IFERROR(__xludf.DUMMYFUNCTION("""COMPUTED_VALUE"""),16.84)</f>
        <v>16.84</v>
      </c>
      <c r="C640" s="1">
        <f>IFERROR(__xludf.DUMMYFUNCTION("""COMPUTED_VALUE"""),16.97)</f>
        <v>16.97</v>
      </c>
      <c r="D640" s="1">
        <f>IFERROR(__xludf.DUMMYFUNCTION("""COMPUTED_VALUE"""),16.66)</f>
        <v>16.66</v>
      </c>
      <c r="E640" s="1">
        <f>IFERROR(__xludf.DUMMYFUNCTION("""COMPUTED_VALUE"""),16.85)</f>
        <v>16.85</v>
      </c>
      <c r="F640" s="1">
        <f>IFERROR(__xludf.DUMMYFUNCTION("""COMPUTED_VALUE"""),393374.0)</f>
        <v>393374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IFERROR(__xludf.DUMMYFUNCTION("""COMPUTED_VALUE"""),16.91)</f>
        <v>16.91</v>
      </c>
      <c r="C641" s="1">
        <f>IFERROR(__xludf.DUMMYFUNCTION("""COMPUTED_VALUE"""),17.2)</f>
        <v>17.2</v>
      </c>
      <c r="D641" s="1">
        <f>IFERROR(__xludf.DUMMYFUNCTION("""COMPUTED_VALUE"""),16.65)</f>
        <v>16.65</v>
      </c>
      <c r="E641" s="1">
        <f>IFERROR(__xludf.DUMMYFUNCTION("""COMPUTED_VALUE"""),17.11)</f>
        <v>17.11</v>
      </c>
      <c r="F641" s="1">
        <f>IFERROR(__xludf.DUMMYFUNCTION("""COMPUTED_VALUE"""),437013.0)</f>
        <v>437013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IFERROR(__xludf.DUMMYFUNCTION("""COMPUTED_VALUE"""),17.18)</f>
        <v>17.18</v>
      </c>
      <c r="C642" s="1">
        <f>IFERROR(__xludf.DUMMYFUNCTION("""COMPUTED_VALUE"""),17.25)</f>
        <v>17.25</v>
      </c>
      <c r="D642" s="1">
        <f>IFERROR(__xludf.DUMMYFUNCTION("""COMPUTED_VALUE"""),16.46)</f>
        <v>16.46</v>
      </c>
      <c r="E642" s="1">
        <f>IFERROR(__xludf.DUMMYFUNCTION("""COMPUTED_VALUE"""),16.81)</f>
        <v>16.81</v>
      </c>
      <c r="F642" s="1">
        <f>IFERROR(__xludf.DUMMYFUNCTION("""COMPUTED_VALUE"""),464803.0)</f>
        <v>464803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IFERROR(__xludf.DUMMYFUNCTION("""COMPUTED_VALUE"""),16.84)</f>
        <v>16.84</v>
      </c>
      <c r="C643" s="1">
        <f>IFERROR(__xludf.DUMMYFUNCTION("""COMPUTED_VALUE"""),16.84)</f>
        <v>16.84</v>
      </c>
      <c r="D643" s="1">
        <f>IFERROR(__xludf.DUMMYFUNCTION("""COMPUTED_VALUE"""),16.08)</f>
        <v>16.08</v>
      </c>
      <c r="E643" s="1">
        <f>IFERROR(__xludf.DUMMYFUNCTION("""COMPUTED_VALUE"""),16.1)</f>
        <v>16.1</v>
      </c>
      <c r="F643" s="1">
        <f>IFERROR(__xludf.DUMMYFUNCTION("""COMPUTED_VALUE"""),309156.0)</f>
        <v>309156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IFERROR(__xludf.DUMMYFUNCTION("""COMPUTED_VALUE"""),15.94)</f>
        <v>15.94</v>
      </c>
      <c r="C644" s="1">
        <f>IFERROR(__xludf.DUMMYFUNCTION("""COMPUTED_VALUE"""),16.24)</f>
        <v>16.24</v>
      </c>
      <c r="D644" s="1">
        <f>IFERROR(__xludf.DUMMYFUNCTION("""COMPUTED_VALUE"""),15.85)</f>
        <v>15.85</v>
      </c>
      <c r="E644" s="1">
        <f>IFERROR(__xludf.DUMMYFUNCTION("""COMPUTED_VALUE"""),16.12)</f>
        <v>16.12</v>
      </c>
      <c r="F644" s="1">
        <f>IFERROR(__xludf.DUMMYFUNCTION("""COMPUTED_VALUE"""),331016.0)</f>
        <v>331016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IFERROR(__xludf.DUMMYFUNCTION("""COMPUTED_VALUE"""),15.8)</f>
        <v>15.8</v>
      </c>
      <c r="C645" s="1">
        <f>IFERROR(__xludf.DUMMYFUNCTION("""COMPUTED_VALUE"""),15.89)</f>
        <v>15.89</v>
      </c>
      <c r="D645" s="1">
        <f>IFERROR(__xludf.DUMMYFUNCTION("""COMPUTED_VALUE"""),15.74)</f>
        <v>15.74</v>
      </c>
      <c r="E645" s="1">
        <f>IFERROR(__xludf.DUMMYFUNCTION("""COMPUTED_VALUE"""),15.79)</f>
        <v>15.79</v>
      </c>
      <c r="F645" s="1">
        <f>IFERROR(__xludf.DUMMYFUNCTION("""COMPUTED_VALUE"""),271439.0)</f>
        <v>271439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IFERROR(__xludf.DUMMYFUNCTION("""COMPUTED_VALUE"""),15.88)</f>
        <v>15.88</v>
      </c>
      <c r="C646" s="1">
        <f>IFERROR(__xludf.DUMMYFUNCTION("""COMPUTED_VALUE"""),15.91)</f>
        <v>15.91</v>
      </c>
      <c r="D646" s="1">
        <f>IFERROR(__xludf.DUMMYFUNCTION("""COMPUTED_VALUE"""),15.66)</f>
        <v>15.66</v>
      </c>
      <c r="E646" s="1">
        <f>IFERROR(__xludf.DUMMYFUNCTION("""COMPUTED_VALUE"""),15.79)</f>
        <v>15.79</v>
      </c>
      <c r="F646" s="1">
        <f>IFERROR(__xludf.DUMMYFUNCTION("""COMPUTED_VALUE"""),314185.0)</f>
        <v>314185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IFERROR(__xludf.DUMMYFUNCTION("""COMPUTED_VALUE"""),15.92)</f>
        <v>15.92</v>
      </c>
      <c r="C647" s="1">
        <f>IFERROR(__xludf.DUMMYFUNCTION("""COMPUTED_VALUE"""),16.11)</f>
        <v>16.11</v>
      </c>
      <c r="D647" s="1">
        <f>IFERROR(__xludf.DUMMYFUNCTION("""COMPUTED_VALUE"""),15.72)</f>
        <v>15.72</v>
      </c>
      <c r="E647" s="1">
        <f>IFERROR(__xludf.DUMMYFUNCTION("""COMPUTED_VALUE"""),15.98)</f>
        <v>15.98</v>
      </c>
      <c r="F647" s="1">
        <f>IFERROR(__xludf.DUMMYFUNCTION("""COMPUTED_VALUE"""),234785.0)</f>
        <v>234785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IFERROR(__xludf.DUMMYFUNCTION("""COMPUTED_VALUE"""),16.29)</f>
        <v>16.29</v>
      </c>
      <c r="C648" s="1">
        <f>IFERROR(__xludf.DUMMYFUNCTION("""COMPUTED_VALUE"""),16.36)</f>
        <v>16.36</v>
      </c>
      <c r="D648" s="1">
        <f>IFERROR(__xludf.DUMMYFUNCTION("""COMPUTED_VALUE"""),15.95)</f>
        <v>15.95</v>
      </c>
      <c r="E648" s="1">
        <f>IFERROR(__xludf.DUMMYFUNCTION("""COMPUTED_VALUE"""),16.13)</f>
        <v>16.13</v>
      </c>
      <c r="F648" s="1">
        <f>IFERROR(__xludf.DUMMYFUNCTION("""COMPUTED_VALUE"""),427059.0)</f>
        <v>427059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IFERROR(__xludf.DUMMYFUNCTION("""COMPUTED_VALUE"""),16.26)</f>
        <v>16.26</v>
      </c>
      <c r="C649" s="1">
        <f>IFERROR(__xludf.DUMMYFUNCTION("""COMPUTED_VALUE"""),16.69)</f>
        <v>16.69</v>
      </c>
      <c r="D649" s="1">
        <f>IFERROR(__xludf.DUMMYFUNCTION("""COMPUTED_VALUE"""),15.98)</f>
        <v>15.98</v>
      </c>
      <c r="E649" s="1">
        <f>IFERROR(__xludf.DUMMYFUNCTION("""COMPUTED_VALUE"""),16.52)</f>
        <v>16.52</v>
      </c>
      <c r="F649" s="1">
        <f>IFERROR(__xludf.DUMMYFUNCTION("""COMPUTED_VALUE"""),343540.0)</f>
        <v>343540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IFERROR(__xludf.DUMMYFUNCTION("""COMPUTED_VALUE"""),16.48)</f>
        <v>16.48</v>
      </c>
      <c r="C650" s="1">
        <f>IFERROR(__xludf.DUMMYFUNCTION("""COMPUTED_VALUE"""),16.59)</f>
        <v>16.59</v>
      </c>
      <c r="D650" s="1">
        <f>IFERROR(__xludf.DUMMYFUNCTION("""COMPUTED_VALUE"""),16.21)</f>
        <v>16.21</v>
      </c>
      <c r="E650" s="1">
        <f>IFERROR(__xludf.DUMMYFUNCTION("""COMPUTED_VALUE"""),16.36)</f>
        <v>16.36</v>
      </c>
      <c r="F650" s="1">
        <f>IFERROR(__xludf.DUMMYFUNCTION("""COMPUTED_VALUE"""),499460.0)</f>
        <v>499460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IFERROR(__xludf.DUMMYFUNCTION("""COMPUTED_VALUE"""),16.33)</f>
        <v>16.33</v>
      </c>
      <c r="C651" s="1">
        <f>IFERROR(__xludf.DUMMYFUNCTION("""COMPUTED_VALUE"""),16.6)</f>
        <v>16.6</v>
      </c>
      <c r="D651" s="1">
        <f>IFERROR(__xludf.DUMMYFUNCTION("""COMPUTED_VALUE"""),16.19)</f>
        <v>16.19</v>
      </c>
      <c r="E651" s="1">
        <f>IFERROR(__xludf.DUMMYFUNCTION("""COMPUTED_VALUE"""),16.19)</f>
        <v>16.19</v>
      </c>
      <c r="F651" s="1">
        <f>IFERROR(__xludf.DUMMYFUNCTION("""COMPUTED_VALUE"""),401442.0)</f>
        <v>401442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IFERROR(__xludf.DUMMYFUNCTION("""COMPUTED_VALUE"""),16.32)</f>
        <v>16.32</v>
      </c>
      <c r="C652" s="1">
        <f>IFERROR(__xludf.DUMMYFUNCTION("""COMPUTED_VALUE"""),16.44)</f>
        <v>16.44</v>
      </c>
      <c r="D652" s="1">
        <f>IFERROR(__xludf.DUMMYFUNCTION("""COMPUTED_VALUE"""),15.81)</f>
        <v>15.81</v>
      </c>
      <c r="E652" s="1">
        <f>IFERROR(__xludf.DUMMYFUNCTION("""COMPUTED_VALUE"""),15.83)</f>
        <v>15.83</v>
      </c>
      <c r="F652" s="1">
        <f>IFERROR(__xludf.DUMMYFUNCTION("""COMPUTED_VALUE"""),297630.0)</f>
        <v>297630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IFERROR(__xludf.DUMMYFUNCTION("""COMPUTED_VALUE"""),15.75)</f>
        <v>15.75</v>
      </c>
      <c r="C653" s="1">
        <f>IFERROR(__xludf.DUMMYFUNCTION("""COMPUTED_VALUE"""),15.89)</f>
        <v>15.89</v>
      </c>
      <c r="D653" s="1">
        <f>IFERROR(__xludf.DUMMYFUNCTION("""COMPUTED_VALUE"""),15.52)</f>
        <v>15.52</v>
      </c>
      <c r="E653" s="1">
        <f>IFERROR(__xludf.DUMMYFUNCTION("""COMPUTED_VALUE"""),15.71)</f>
        <v>15.71</v>
      </c>
      <c r="F653" s="1">
        <f>IFERROR(__xludf.DUMMYFUNCTION("""COMPUTED_VALUE"""),285604.0)</f>
        <v>285604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IFERROR(__xludf.DUMMYFUNCTION("""COMPUTED_VALUE"""),16.01)</f>
        <v>16.01</v>
      </c>
      <c r="C654" s="1">
        <f>IFERROR(__xludf.DUMMYFUNCTION("""COMPUTED_VALUE"""),16.66)</f>
        <v>16.66</v>
      </c>
      <c r="D654" s="1">
        <f>IFERROR(__xludf.DUMMYFUNCTION("""COMPUTED_VALUE"""),15.83)</f>
        <v>15.83</v>
      </c>
      <c r="E654" s="1">
        <f>IFERROR(__xludf.DUMMYFUNCTION("""COMPUTED_VALUE"""),16.54)</f>
        <v>16.54</v>
      </c>
      <c r="F654" s="1">
        <f>IFERROR(__xludf.DUMMYFUNCTION("""COMPUTED_VALUE"""),562220.0)</f>
        <v>562220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IFERROR(__xludf.DUMMYFUNCTION("""COMPUTED_VALUE"""),16.59)</f>
        <v>16.59</v>
      </c>
      <c r="C655" s="1">
        <f>IFERROR(__xludf.DUMMYFUNCTION("""COMPUTED_VALUE"""),16.77)</f>
        <v>16.77</v>
      </c>
      <c r="D655" s="1">
        <f>IFERROR(__xludf.DUMMYFUNCTION("""COMPUTED_VALUE"""),16.52)</f>
        <v>16.52</v>
      </c>
      <c r="E655" s="1">
        <f>IFERROR(__xludf.DUMMYFUNCTION("""COMPUTED_VALUE"""),16.64)</f>
        <v>16.64</v>
      </c>
      <c r="F655" s="1">
        <f>IFERROR(__xludf.DUMMYFUNCTION("""COMPUTED_VALUE"""),353340.0)</f>
        <v>353340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IFERROR(__xludf.DUMMYFUNCTION("""COMPUTED_VALUE"""),16.73)</f>
        <v>16.73</v>
      </c>
      <c r="C656" s="1">
        <f>IFERROR(__xludf.DUMMYFUNCTION("""COMPUTED_VALUE"""),17.0)</f>
        <v>17</v>
      </c>
      <c r="D656" s="1">
        <f>IFERROR(__xludf.DUMMYFUNCTION("""COMPUTED_VALUE"""),16.53)</f>
        <v>16.53</v>
      </c>
      <c r="E656" s="1">
        <f>IFERROR(__xludf.DUMMYFUNCTION("""COMPUTED_VALUE"""),16.76)</f>
        <v>16.76</v>
      </c>
      <c r="F656" s="1">
        <f>IFERROR(__xludf.DUMMYFUNCTION("""COMPUTED_VALUE"""),319867.0)</f>
        <v>319867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IFERROR(__xludf.DUMMYFUNCTION("""COMPUTED_VALUE"""),16.63)</f>
        <v>16.63</v>
      </c>
      <c r="C657" s="1">
        <f>IFERROR(__xludf.DUMMYFUNCTION("""COMPUTED_VALUE"""),16.78)</f>
        <v>16.78</v>
      </c>
      <c r="D657" s="1">
        <f>IFERROR(__xludf.DUMMYFUNCTION("""COMPUTED_VALUE"""),16.49)</f>
        <v>16.49</v>
      </c>
      <c r="E657" s="1">
        <f>IFERROR(__xludf.DUMMYFUNCTION("""COMPUTED_VALUE"""),16.54)</f>
        <v>16.54</v>
      </c>
      <c r="F657" s="1">
        <f>IFERROR(__xludf.DUMMYFUNCTION("""COMPUTED_VALUE"""),254856.0)</f>
        <v>254856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IFERROR(__xludf.DUMMYFUNCTION("""COMPUTED_VALUE"""),16.46)</f>
        <v>16.46</v>
      </c>
      <c r="C658" s="1">
        <f>IFERROR(__xludf.DUMMYFUNCTION("""COMPUTED_VALUE"""),16.63)</f>
        <v>16.63</v>
      </c>
      <c r="D658" s="1">
        <f>IFERROR(__xludf.DUMMYFUNCTION("""COMPUTED_VALUE"""),16.36)</f>
        <v>16.36</v>
      </c>
      <c r="E658" s="1">
        <f>IFERROR(__xludf.DUMMYFUNCTION("""COMPUTED_VALUE"""),16.5)</f>
        <v>16.5</v>
      </c>
      <c r="F658" s="1">
        <f>IFERROR(__xludf.DUMMYFUNCTION("""COMPUTED_VALUE"""),239773.0)</f>
        <v>239773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IFERROR(__xludf.DUMMYFUNCTION("""COMPUTED_VALUE"""),16.47)</f>
        <v>16.47</v>
      </c>
      <c r="C659" s="1">
        <f>IFERROR(__xludf.DUMMYFUNCTION("""COMPUTED_VALUE"""),16.49)</f>
        <v>16.49</v>
      </c>
      <c r="D659" s="1">
        <f>IFERROR(__xludf.DUMMYFUNCTION("""COMPUTED_VALUE"""),16.29)</f>
        <v>16.29</v>
      </c>
      <c r="E659" s="1">
        <f>IFERROR(__xludf.DUMMYFUNCTION("""COMPUTED_VALUE"""),16.45)</f>
        <v>16.45</v>
      </c>
      <c r="F659" s="1">
        <f>IFERROR(__xludf.DUMMYFUNCTION("""COMPUTED_VALUE"""),244872.0)</f>
        <v>244872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IFERROR(__xludf.DUMMYFUNCTION("""COMPUTED_VALUE"""),16.4)</f>
        <v>16.4</v>
      </c>
      <c r="C660" s="1">
        <f>IFERROR(__xludf.DUMMYFUNCTION("""COMPUTED_VALUE"""),16.44)</f>
        <v>16.44</v>
      </c>
      <c r="D660" s="1">
        <f>IFERROR(__xludf.DUMMYFUNCTION("""COMPUTED_VALUE"""),16.13)</f>
        <v>16.13</v>
      </c>
      <c r="E660" s="1">
        <f>IFERROR(__xludf.DUMMYFUNCTION("""COMPUTED_VALUE"""),16.44)</f>
        <v>16.44</v>
      </c>
      <c r="F660" s="1">
        <f>IFERROR(__xludf.DUMMYFUNCTION("""COMPUTED_VALUE"""),215080.0)</f>
        <v>215080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IFERROR(__xludf.DUMMYFUNCTION("""COMPUTED_VALUE"""),16.53)</f>
        <v>16.53</v>
      </c>
      <c r="C661" s="1">
        <f>IFERROR(__xludf.DUMMYFUNCTION("""COMPUTED_VALUE"""),16.61)</f>
        <v>16.61</v>
      </c>
      <c r="D661" s="1">
        <f>IFERROR(__xludf.DUMMYFUNCTION("""COMPUTED_VALUE"""),16.37)</f>
        <v>16.37</v>
      </c>
      <c r="E661" s="1">
        <f>IFERROR(__xludf.DUMMYFUNCTION("""COMPUTED_VALUE"""),16.43)</f>
        <v>16.43</v>
      </c>
      <c r="F661" s="1">
        <f>IFERROR(__xludf.DUMMYFUNCTION("""COMPUTED_VALUE"""),210320.0)</f>
        <v>210320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IFERROR(__xludf.DUMMYFUNCTION("""COMPUTED_VALUE"""),16.36)</f>
        <v>16.36</v>
      </c>
      <c r="C662" s="1">
        <f>IFERROR(__xludf.DUMMYFUNCTION("""COMPUTED_VALUE"""),16.46)</f>
        <v>16.46</v>
      </c>
      <c r="D662" s="1">
        <f>IFERROR(__xludf.DUMMYFUNCTION("""COMPUTED_VALUE"""),16.29)</f>
        <v>16.29</v>
      </c>
      <c r="E662" s="1">
        <f>IFERROR(__xludf.DUMMYFUNCTION("""COMPUTED_VALUE"""),16.3)</f>
        <v>16.3</v>
      </c>
      <c r="F662" s="1">
        <f>IFERROR(__xludf.DUMMYFUNCTION("""COMPUTED_VALUE"""),413060.0)</f>
        <v>413060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IFERROR(__xludf.DUMMYFUNCTION("""COMPUTED_VALUE"""),16.32)</f>
        <v>16.32</v>
      </c>
      <c r="C663" s="1">
        <f>IFERROR(__xludf.DUMMYFUNCTION("""COMPUTED_VALUE"""),16.51)</f>
        <v>16.51</v>
      </c>
      <c r="D663" s="1">
        <f>IFERROR(__xludf.DUMMYFUNCTION("""COMPUTED_VALUE"""),16.18)</f>
        <v>16.18</v>
      </c>
      <c r="E663" s="1">
        <f>IFERROR(__xludf.DUMMYFUNCTION("""COMPUTED_VALUE"""),16.5)</f>
        <v>16.5</v>
      </c>
      <c r="F663" s="1">
        <f>IFERROR(__xludf.DUMMYFUNCTION("""COMPUTED_VALUE"""),314945.0)</f>
        <v>314945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IFERROR(__xludf.DUMMYFUNCTION("""COMPUTED_VALUE"""),16.5)</f>
        <v>16.5</v>
      </c>
      <c r="C664" s="1">
        <f>IFERROR(__xludf.DUMMYFUNCTION("""COMPUTED_VALUE"""),16.68)</f>
        <v>16.68</v>
      </c>
      <c r="D664" s="1">
        <f>IFERROR(__xludf.DUMMYFUNCTION("""COMPUTED_VALUE"""),16.42)</f>
        <v>16.42</v>
      </c>
      <c r="E664" s="1">
        <f>IFERROR(__xludf.DUMMYFUNCTION("""COMPUTED_VALUE"""),16.67)</f>
        <v>16.67</v>
      </c>
      <c r="F664" s="1">
        <f>IFERROR(__xludf.DUMMYFUNCTION("""COMPUTED_VALUE"""),204846.0)</f>
        <v>204846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IFERROR(__xludf.DUMMYFUNCTION("""COMPUTED_VALUE"""),16.64)</f>
        <v>16.64</v>
      </c>
      <c r="C665" s="1">
        <f>IFERROR(__xludf.DUMMYFUNCTION("""COMPUTED_VALUE"""),16.87)</f>
        <v>16.87</v>
      </c>
      <c r="D665" s="1">
        <f>IFERROR(__xludf.DUMMYFUNCTION("""COMPUTED_VALUE"""),16.47)</f>
        <v>16.47</v>
      </c>
      <c r="E665" s="1">
        <f>IFERROR(__xludf.DUMMYFUNCTION("""COMPUTED_VALUE"""),16.72)</f>
        <v>16.72</v>
      </c>
      <c r="F665" s="1">
        <f>IFERROR(__xludf.DUMMYFUNCTION("""COMPUTED_VALUE"""),258454.0)</f>
        <v>258454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IFERROR(__xludf.DUMMYFUNCTION("""COMPUTED_VALUE"""),16.82)</f>
        <v>16.82</v>
      </c>
      <c r="C666" s="1">
        <f>IFERROR(__xludf.DUMMYFUNCTION("""COMPUTED_VALUE"""),17.04)</f>
        <v>17.04</v>
      </c>
      <c r="D666" s="1">
        <f>IFERROR(__xludf.DUMMYFUNCTION("""COMPUTED_VALUE"""),16.25)</f>
        <v>16.25</v>
      </c>
      <c r="E666" s="1">
        <f>IFERROR(__xludf.DUMMYFUNCTION("""COMPUTED_VALUE"""),16.65)</f>
        <v>16.65</v>
      </c>
      <c r="F666" s="1">
        <f>IFERROR(__xludf.DUMMYFUNCTION("""COMPUTED_VALUE"""),688047.0)</f>
        <v>688047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IFERROR(__xludf.DUMMYFUNCTION("""COMPUTED_VALUE"""),16.64)</f>
        <v>16.64</v>
      </c>
      <c r="C667" s="1">
        <f>IFERROR(__xludf.DUMMYFUNCTION("""COMPUTED_VALUE"""),16.81)</f>
        <v>16.81</v>
      </c>
      <c r="D667" s="1">
        <f>IFERROR(__xludf.DUMMYFUNCTION("""COMPUTED_VALUE"""),16.45)</f>
        <v>16.45</v>
      </c>
      <c r="E667" s="1">
        <f>IFERROR(__xludf.DUMMYFUNCTION("""COMPUTED_VALUE"""),16.54)</f>
        <v>16.54</v>
      </c>
      <c r="F667" s="1">
        <f>IFERROR(__xludf.DUMMYFUNCTION("""COMPUTED_VALUE"""),144720.0)</f>
        <v>144720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IFERROR(__xludf.DUMMYFUNCTION("""COMPUTED_VALUE"""),16.54)</f>
        <v>16.54</v>
      </c>
      <c r="C668" s="1">
        <f>IFERROR(__xludf.DUMMYFUNCTION("""COMPUTED_VALUE"""),16.58)</f>
        <v>16.58</v>
      </c>
      <c r="D668" s="1">
        <f>IFERROR(__xludf.DUMMYFUNCTION("""COMPUTED_VALUE"""),16.11)</f>
        <v>16.11</v>
      </c>
      <c r="E668" s="1">
        <f>IFERROR(__xludf.DUMMYFUNCTION("""COMPUTED_VALUE"""),16.16)</f>
        <v>16.16</v>
      </c>
      <c r="F668" s="1">
        <f>IFERROR(__xludf.DUMMYFUNCTION("""COMPUTED_VALUE"""),199629.0)</f>
        <v>199629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IFERROR(__xludf.DUMMYFUNCTION("""COMPUTED_VALUE"""),16.08)</f>
        <v>16.08</v>
      </c>
      <c r="C669" s="1">
        <f>IFERROR(__xludf.DUMMYFUNCTION("""COMPUTED_VALUE"""),16.3)</f>
        <v>16.3</v>
      </c>
      <c r="D669" s="1">
        <f>IFERROR(__xludf.DUMMYFUNCTION("""COMPUTED_VALUE"""),16.01)</f>
        <v>16.01</v>
      </c>
      <c r="E669" s="1">
        <f>IFERROR(__xludf.DUMMYFUNCTION("""COMPUTED_VALUE"""),16.16)</f>
        <v>16.16</v>
      </c>
      <c r="F669" s="1">
        <f>IFERROR(__xludf.DUMMYFUNCTION("""COMPUTED_VALUE"""),188098.0)</f>
        <v>188098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IFERROR(__xludf.DUMMYFUNCTION("""COMPUTED_VALUE"""),16.29)</f>
        <v>16.29</v>
      </c>
      <c r="C670" s="1">
        <f>IFERROR(__xludf.DUMMYFUNCTION("""COMPUTED_VALUE"""),16.34)</f>
        <v>16.34</v>
      </c>
      <c r="D670" s="1">
        <f>IFERROR(__xludf.DUMMYFUNCTION("""COMPUTED_VALUE"""),16.09)</f>
        <v>16.09</v>
      </c>
      <c r="E670" s="1">
        <f>IFERROR(__xludf.DUMMYFUNCTION("""COMPUTED_VALUE"""),16.16)</f>
        <v>16.16</v>
      </c>
      <c r="F670" s="1">
        <f>IFERROR(__xludf.DUMMYFUNCTION("""COMPUTED_VALUE"""),178828.0)</f>
        <v>178828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IFERROR(__xludf.DUMMYFUNCTION("""COMPUTED_VALUE"""),16.17)</f>
        <v>16.17</v>
      </c>
      <c r="C671" s="1">
        <f>IFERROR(__xludf.DUMMYFUNCTION("""COMPUTED_VALUE"""),16.37)</f>
        <v>16.37</v>
      </c>
      <c r="D671" s="1">
        <f>IFERROR(__xludf.DUMMYFUNCTION("""COMPUTED_VALUE"""),16.07)</f>
        <v>16.07</v>
      </c>
      <c r="E671" s="1">
        <f>IFERROR(__xludf.DUMMYFUNCTION("""COMPUTED_VALUE"""),16.19)</f>
        <v>16.19</v>
      </c>
      <c r="F671" s="1">
        <f>IFERROR(__xludf.DUMMYFUNCTION("""COMPUTED_VALUE"""),217820.0)</f>
        <v>217820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IFERROR(__xludf.DUMMYFUNCTION("""COMPUTED_VALUE"""),16.24)</f>
        <v>16.24</v>
      </c>
      <c r="C672" s="1">
        <f>IFERROR(__xludf.DUMMYFUNCTION("""COMPUTED_VALUE"""),16.56)</f>
        <v>16.56</v>
      </c>
      <c r="D672" s="1">
        <f>IFERROR(__xludf.DUMMYFUNCTION("""COMPUTED_VALUE"""),16.2)</f>
        <v>16.2</v>
      </c>
      <c r="E672" s="1">
        <f>IFERROR(__xludf.DUMMYFUNCTION("""COMPUTED_VALUE"""),16.49)</f>
        <v>16.49</v>
      </c>
      <c r="F672" s="1">
        <f>IFERROR(__xludf.DUMMYFUNCTION("""COMPUTED_VALUE"""),278646.0)</f>
        <v>278646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IFERROR(__xludf.DUMMYFUNCTION("""COMPUTED_VALUE"""),16.39)</f>
        <v>16.39</v>
      </c>
      <c r="C673" s="1">
        <f>IFERROR(__xludf.DUMMYFUNCTION("""COMPUTED_VALUE"""),16.5)</f>
        <v>16.5</v>
      </c>
      <c r="D673" s="1">
        <f>IFERROR(__xludf.DUMMYFUNCTION("""COMPUTED_VALUE"""),16.19)</f>
        <v>16.19</v>
      </c>
      <c r="E673" s="1">
        <f>IFERROR(__xludf.DUMMYFUNCTION("""COMPUTED_VALUE"""),16.38)</f>
        <v>16.38</v>
      </c>
      <c r="F673" s="1">
        <f>IFERROR(__xludf.DUMMYFUNCTION("""COMPUTED_VALUE"""),150506.0)</f>
        <v>150506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IFERROR(__xludf.DUMMYFUNCTION("""COMPUTED_VALUE"""),16.53)</f>
        <v>16.53</v>
      </c>
      <c r="C674" s="1">
        <f>IFERROR(__xludf.DUMMYFUNCTION("""COMPUTED_VALUE"""),16.59)</f>
        <v>16.59</v>
      </c>
      <c r="D674" s="1">
        <f>IFERROR(__xludf.DUMMYFUNCTION("""COMPUTED_VALUE"""),16.21)</f>
        <v>16.21</v>
      </c>
      <c r="E674" s="1">
        <f>IFERROR(__xludf.DUMMYFUNCTION("""COMPUTED_VALUE"""),16.37)</f>
        <v>16.37</v>
      </c>
      <c r="F674" s="1">
        <f>IFERROR(__xludf.DUMMYFUNCTION("""COMPUTED_VALUE"""),196582.0)</f>
        <v>196582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IFERROR(__xludf.DUMMYFUNCTION("""COMPUTED_VALUE"""),16.34)</f>
        <v>16.34</v>
      </c>
      <c r="C675" s="1">
        <f>IFERROR(__xludf.DUMMYFUNCTION("""COMPUTED_VALUE"""),16.84)</f>
        <v>16.84</v>
      </c>
      <c r="D675" s="1">
        <f>IFERROR(__xludf.DUMMYFUNCTION("""COMPUTED_VALUE"""),16.2)</f>
        <v>16.2</v>
      </c>
      <c r="E675" s="1">
        <f>IFERROR(__xludf.DUMMYFUNCTION("""COMPUTED_VALUE"""),16.73)</f>
        <v>16.73</v>
      </c>
      <c r="F675" s="1">
        <f>IFERROR(__xludf.DUMMYFUNCTION("""COMPUTED_VALUE"""),322456.0)</f>
        <v>322456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IFERROR(__xludf.DUMMYFUNCTION("""COMPUTED_VALUE"""),16.84)</f>
        <v>16.84</v>
      </c>
      <c r="C676" s="1">
        <f>IFERROR(__xludf.DUMMYFUNCTION("""COMPUTED_VALUE"""),16.86)</f>
        <v>16.86</v>
      </c>
      <c r="D676" s="1">
        <f>IFERROR(__xludf.DUMMYFUNCTION("""COMPUTED_VALUE"""),16.43)</f>
        <v>16.43</v>
      </c>
      <c r="E676" s="1">
        <f>IFERROR(__xludf.DUMMYFUNCTION("""COMPUTED_VALUE"""),16.67)</f>
        <v>16.67</v>
      </c>
      <c r="F676" s="1">
        <f>IFERROR(__xludf.DUMMYFUNCTION("""COMPUTED_VALUE"""),372129.0)</f>
        <v>372129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IFERROR(__xludf.DUMMYFUNCTION("""COMPUTED_VALUE"""),16.79)</f>
        <v>16.79</v>
      </c>
      <c r="C677" s="1">
        <f>IFERROR(__xludf.DUMMYFUNCTION("""COMPUTED_VALUE"""),17.23)</f>
        <v>17.23</v>
      </c>
      <c r="D677" s="1">
        <f>IFERROR(__xludf.DUMMYFUNCTION("""COMPUTED_VALUE"""),16.79)</f>
        <v>16.79</v>
      </c>
      <c r="E677" s="1">
        <f>IFERROR(__xludf.DUMMYFUNCTION("""COMPUTED_VALUE"""),17.17)</f>
        <v>17.17</v>
      </c>
      <c r="F677" s="1">
        <f>IFERROR(__xludf.DUMMYFUNCTION("""COMPUTED_VALUE"""),446034.0)</f>
        <v>446034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IFERROR(__xludf.DUMMYFUNCTION("""COMPUTED_VALUE"""),17.28)</f>
        <v>17.28</v>
      </c>
      <c r="C678" s="1">
        <f>IFERROR(__xludf.DUMMYFUNCTION("""COMPUTED_VALUE"""),17.6)</f>
        <v>17.6</v>
      </c>
      <c r="D678" s="1">
        <f>IFERROR(__xludf.DUMMYFUNCTION("""COMPUTED_VALUE"""),17.16)</f>
        <v>17.16</v>
      </c>
      <c r="E678" s="1">
        <f>IFERROR(__xludf.DUMMYFUNCTION("""COMPUTED_VALUE"""),17.43)</f>
        <v>17.43</v>
      </c>
      <c r="F678" s="1">
        <f>IFERROR(__xludf.DUMMYFUNCTION("""COMPUTED_VALUE"""),290781.0)</f>
        <v>290781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IFERROR(__xludf.DUMMYFUNCTION("""COMPUTED_VALUE"""),17.41)</f>
        <v>17.41</v>
      </c>
      <c r="C679" s="1">
        <f>IFERROR(__xludf.DUMMYFUNCTION("""COMPUTED_VALUE"""),17.58)</f>
        <v>17.58</v>
      </c>
      <c r="D679" s="1">
        <f>IFERROR(__xludf.DUMMYFUNCTION("""COMPUTED_VALUE"""),17.3)</f>
        <v>17.3</v>
      </c>
      <c r="E679" s="1">
        <f>IFERROR(__xludf.DUMMYFUNCTION("""COMPUTED_VALUE"""),17.3)</f>
        <v>17.3</v>
      </c>
      <c r="F679" s="1">
        <f>IFERROR(__xludf.DUMMYFUNCTION("""COMPUTED_VALUE"""),266929.0)</f>
        <v>266929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IFERROR(__xludf.DUMMYFUNCTION("""COMPUTED_VALUE"""),17.26)</f>
        <v>17.26</v>
      </c>
      <c r="C680" s="1">
        <f>IFERROR(__xludf.DUMMYFUNCTION("""COMPUTED_VALUE"""),17.52)</f>
        <v>17.52</v>
      </c>
      <c r="D680" s="1">
        <f>IFERROR(__xludf.DUMMYFUNCTION("""COMPUTED_VALUE"""),17.26)</f>
        <v>17.26</v>
      </c>
      <c r="E680" s="1">
        <f>IFERROR(__xludf.DUMMYFUNCTION("""COMPUTED_VALUE"""),17.38)</f>
        <v>17.38</v>
      </c>
      <c r="F680" s="1">
        <f>IFERROR(__xludf.DUMMYFUNCTION("""COMPUTED_VALUE"""),313737.0)</f>
        <v>313737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IFERROR(__xludf.DUMMYFUNCTION("""COMPUTED_VALUE"""),17.51)</f>
        <v>17.51</v>
      </c>
      <c r="C681" s="1">
        <f>IFERROR(__xludf.DUMMYFUNCTION("""COMPUTED_VALUE"""),17.57)</f>
        <v>17.57</v>
      </c>
      <c r="D681" s="1">
        <f>IFERROR(__xludf.DUMMYFUNCTION("""COMPUTED_VALUE"""),17.32)</f>
        <v>17.32</v>
      </c>
      <c r="E681" s="1">
        <f>IFERROR(__xludf.DUMMYFUNCTION("""COMPUTED_VALUE"""),17.49)</f>
        <v>17.49</v>
      </c>
      <c r="F681" s="1">
        <f>IFERROR(__xludf.DUMMYFUNCTION("""COMPUTED_VALUE"""),263487.0)</f>
        <v>263487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IFERROR(__xludf.DUMMYFUNCTION("""COMPUTED_VALUE"""),17.5)</f>
        <v>17.5</v>
      </c>
      <c r="C682" s="1">
        <f>IFERROR(__xludf.DUMMYFUNCTION("""COMPUTED_VALUE"""),18.0)</f>
        <v>18</v>
      </c>
      <c r="D682" s="1">
        <f>IFERROR(__xludf.DUMMYFUNCTION("""COMPUTED_VALUE"""),17.37)</f>
        <v>17.37</v>
      </c>
      <c r="E682" s="1">
        <f>IFERROR(__xludf.DUMMYFUNCTION("""COMPUTED_VALUE"""),17.89)</f>
        <v>17.89</v>
      </c>
      <c r="F682" s="1">
        <f>IFERROR(__xludf.DUMMYFUNCTION("""COMPUTED_VALUE"""),399335.0)</f>
        <v>399335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IFERROR(__xludf.DUMMYFUNCTION("""COMPUTED_VALUE"""),17.9)</f>
        <v>17.9</v>
      </c>
      <c r="C683" s="1">
        <f>IFERROR(__xludf.DUMMYFUNCTION("""COMPUTED_VALUE"""),18.33)</f>
        <v>18.33</v>
      </c>
      <c r="D683" s="1">
        <f>IFERROR(__xludf.DUMMYFUNCTION("""COMPUTED_VALUE"""),17.66)</f>
        <v>17.66</v>
      </c>
      <c r="E683" s="1">
        <f>IFERROR(__xludf.DUMMYFUNCTION("""COMPUTED_VALUE"""),18.14)</f>
        <v>18.14</v>
      </c>
      <c r="F683" s="1">
        <f>IFERROR(__xludf.DUMMYFUNCTION("""COMPUTED_VALUE"""),648329.0)</f>
        <v>648329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IFERROR(__xludf.DUMMYFUNCTION("""COMPUTED_VALUE"""),18.02)</f>
        <v>18.02</v>
      </c>
      <c r="C684" s="1">
        <f>IFERROR(__xludf.DUMMYFUNCTION("""COMPUTED_VALUE"""),18.06)</f>
        <v>18.06</v>
      </c>
      <c r="D684" s="1">
        <f>IFERROR(__xludf.DUMMYFUNCTION("""COMPUTED_VALUE"""),17.51)</f>
        <v>17.51</v>
      </c>
      <c r="E684" s="1">
        <f>IFERROR(__xludf.DUMMYFUNCTION("""COMPUTED_VALUE"""),17.56)</f>
        <v>17.56</v>
      </c>
      <c r="F684" s="1">
        <f>IFERROR(__xludf.DUMMYFUNCTION("""COMPUTED_VALUE"""),261131.0)</f>
        <v>261131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IFERROR(__xludf.DUMMYFUNCTION("""COMPUTED_VALUE"""),17.48)</f>
        <v>17.48</v>
      </c>
      <c r="C685" s="1">
        <f>IFERROR(__xludf.DUMMYFUNCTION("""COMPUTED_VALUE"""),17.81)</f>
        <v>17.81</v>
      </c>
      <c r="D685" s="1">
        <f>IFERROR(__xludf.DUMMYFUNCTION("""COMPUTED_VALUE"""),17.48)</f>
        <v>17.48</v>
      </c>
      <c r="E685" s="1">
        <f>IFERROR(__xludf.DUMMYFUNCTION("""COMPUTED_VALUE"""),17.76)</f>
        <v>17.76</v>
      </c>
      <c r="F685" s="1">
        <f>IFERROR(__xludf.DUMMYFUNCTION("""COMPUTED_VALUE"""),426452.0)</f>
        <v>426452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IFERROR(__xludf.DUMMYFUNCTION("""COMPUTED_VALUE"""),17.76)</f>
        <v>17.76</v>
      </c>
      <c r="C686" s="1">
        <f>IFERROR(__xludf.DUMMYFUNCTION("""COMPUTED_VALUE"""),17.98)</f>
        <v>17.98</v>
      </c>
      <c r="D686" s="1">
        <f>IFERROR(__xludf.DUMMYFUNCTION("""COMPUTED_VALUE"""),17.57)</f>
        <v>17.57</v>
      </c>
      <c r="E686" s="1">
        <f>IFERROR(__xludf.DUMMYFUNCTION("""COMPUTED_VALUE"""),17.69)</f>
        <v>17.69</v>
      </c>
      <c r="F686" s="1">
        <f>IFERROR(__xludf.DUMMYFUNCTION("""COMPUTED_VALUE"""),264249.0)</f>
        <v>264249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IFERROR(__xludf.DUMMYFUNCTION("""COMPUTED_VALUE"""),17.5)</f>
        <v>17.5</v>
      </c>
      <c r="C687" s="1">
        <f>IFERROR(__xludf.DUMMYFUNCTION("""COMPUTED_VALUE"""),17.68)</f>
        <v>17.68</v>
      </c>
      <c r="D687" s="1">
        <f>IFERROR(__xludf.DUMMYFUNCTION("""COMPUTED_VALUE"""),17.36)</f>
        <v>17.36</v>
      </c>
      <c r="E687" s="1">
        <f>IFERROR(__xludf.DUMMYFUNCTION("""COMPUTED_VALUE"""),17.5)</f>
        <v>17.5</v>
      </c>
      <c r="F687" s="1">
        <f>IFERROR(__xludf.DUMMYFUNCTION("""COMPUTED_VALUE"""),176524.0)</f>
        <v>176524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IFERROR(__xludf.DUMMYFUNCTION("""COMPUTED_VALUE"""),17.71)</f>
        <v>17.71</v>
      </c>
      <c r="C688" s="1">
        <f>IFERROR(__xludf.DUMMYFUNCTION("""COMPUTED_VALUE"""),17.76)</f>
        <v>17.76</v>
      </c>
      <c r="D688" s="1">
        <f>IFERROR(__xludf.DUMMYFUNCTION("""COMPUTED_VALUE"""),17.42)</f>
        <v>17.42</v>
      </c>
      <c r="E688" s="1">
        <f>IFERROR(__xludf.DUMMYFUNCTION("""COMPUTED_VALUE"""),17.55)</f>
        <v>17.55</v>
      </c>
      <c r="F688" s="1">
        <f>IFERROR(__xludf.DUMMYFUNCTION("""COMPUTED_VALUE"""),1732359.0)</f>
        <v>1732359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IFERROR(__xludf.DUMMYFUNCTION("""COMPUTED_VALUE"""),17.42)</f>
        <v>17.42</v>
      </c>
      <c r="C689" s="1">
        <f>IFERROR(__xludf.DUMMYFUNCTION("""COMPUTED_VALUE"""),17.74)</f>
        <v>17.74</v>
      </c>
      <c r="D689" s="1">
        <f>IFERROR(__xludf.DUMMYFUNCTION("""COMPUTED_VALUE"""),17.37)</f>
        <v>17.37</v>
      </c>
      <c r="E689" s="1">
        <f>IFERROR(__xludf.DUMMYFUNCTION("""COMPUTED_VALUE"""),17.63)</f>
        <v>17.63</v>
      </c>
      <c r="F689" s="1">
        <f>IFERROR(__xludf.DUMMYFUNCTION("""COMPUTED_VALUE"""),227103.0)</f>
        <v>227103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IFERROR(__xludf.DUMMYFUNCTION("""COMPUTED_VALUE"""),17.74)</f>
        <v>17.74</v>
      </c>
      <c r="C690" s="1">
        <f>IFERROR(__xludf.DUMMYFUNCTION("""COMPUTED_VALUE"""),17.93)</f>
        <v>17.93</v>
      </c>
      <c r="D690" s="1">
        <f>IFERROR(__xludf.DUMMYFUNCTION("""COMPUTED_VALUE"""),17.51)</f>
        <v>17.51</v>
      </c>
      <c r="E690" s="1">
        <f>IFERROR(__xludf.DUMMYFUNCTION("""COMPUTED_VALUE"""),17.53)</f>
        <v>17.53</v>
      </c>
      <c r="F690" s="1">
        <f>IFERROR(__xludf.DUMMYFUNCTION("""COMPUTED_VALUE"""),333335.0)</f>
        <v>333335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IFERROR(__xludf.DUMMYFUNCTION("""COMPUTED_VALUE"""),17.54)</f>
        <v>17.54</v>
      </c>
      <c r="C691" s="1">
        <f>IFERROR(__xludf.DUMMYFUNCTION("""COMPUTED_VALUE"""),17.77)</f>
        <v>17.77</v>
      </c>
      <c r="D691" s="1">
        <f>IFERROR(__xludf.DUMMYFUNCTION("""COMPUTED_VALUE"""),17.3)</f>
        <v>17.3</v>
      </c>
      <c r="E691" s="1">
        <f>IFERROR(__xludf.DUMMYFUNCTION("""COMPUTED_VALUE"""),17.39)</f>
        <v>17.39</v>
      </c>
      <c r="F691" s="1">
        <f>IFERROR(__xludf.DUMMYFUNCTION("""COMPUTED_VALUE"""),335711.0)</f>
        <v>335711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IFERROR(__xludf.DUMMYFUNCTION("""COMPUTED_VALUE"""),17.45)</f>
        <v>17.45</v>
      </c>
      <c r="C692" s="1">
        <f>IFERROR(__xludf.DUMMYFUNCTION("""COMPUTED_VALUE"""),17.65)</f>
        <v>17.65</v>
      </c>
      <c r="D692" s="1">
        <f>IFERROR(__xludf.DUMMYFUNCTION("""COMPUTED_VALUE"""),17.33)</f>
        <v>17.33</v>
      </c>
      <c r="E692" s="1">
        <f>IFERROR(__xludf.DUMMYFUNCTION("""COMPUTED_VALUE"""),17.53)</f>
        <v>17.53</v>
      </c>
      <c r="F692" s="1">
        <f>IFERROR(__xludf.DUMMYFUNCTION("""COMPUTED_VALUE"""),184686.0)</f>
        <v>184686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IFERROR(__xludf.DUMMYFUNCTION("""COMPUTED_VALUE"""),17.41)</f>
        <v>17.41</v>
      </c>
      <c r="C693" s="1">
        <f>IFERROR(__xludf.DUMMYFUNCTION("""COMPUTED_VALUE"""),17.5)</f>
        <v>17.5</v>
      </c>
      <c r="D693" s="1">
        <f>IFERROR(__xludf.DUMMYFUNCTION("""COMPUTED_VALUE"""),17.23)</f>
        <v>17.23</v>
      </c>
      <c r="E693" s="1">
        <f>IFERROR(__xludf.DUMMYFUNCTION("""COMPUTED_VALUE"""),17.26)</f>
        <v>17.26</v>
      </c>
      <c r="F693" s="1">
        <f>IFERROR(__xludf.DUMMYFUNCTION("""COMPUTED_VALUE"""),208970.0)</f>
        <v>208970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IFERROR(__xludf.DUMMYFUNCTION("""COMPUTED_VALUE"""),17.4)</f>
        <v>17.4</v>
      </c>
      <c r="C694" s="1">
        <f>IFERROR(__xludf.DUMMYFUNCTION("""COMPUTED_VALUE"""),17.45)</f>
        <v>17.45</v>
      </c>
      <c r="D694" s="1">
        <f>IFERROR(__xludf.DUMMYFUNCTION("""COMPUTED_VALUE"""),16.96)</f>
        <v>16.96</v>
      </c>
      <c r="E694" s="1">
        <f>IFERROR(__xludf.DUMMYFUNCTION("""COMPUTED_VALUE"""),17.22)</f>
        <v>17.22</v>
      </c>
      <c r="F694" s="1">
        <f>IFERROR(__xludf.DUMMYFUNCTION("""COMPUTED_VALUE"""),345605.0)</f>
        <v>345605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IFERROR(__xludf.DUMMYFUNCTION("""COMPUTED_VALUE"""),17.34)</f>
        <v>17.34</v>
      </c>
      <c r="C695" s="1">
        <f>IFERROR(__xludf.DUMMYFUNCTION("""COMPUTED_VALUE"""),17.39)</f>
        <v>17.39</v>
      </c>
      <c r="D695" s="1">
        <f>IFERROR(__xludf.DUMMYFUNCTION("""COMPUTED_VALUE"""),16.99)</f>
        <v>16.99</v>
      </c>
      <c r="E695" s="1">
        <f>IFERROR(__xludf.DUMMYFUNCTION("""COMPUTED_VALUE"""),17.29)</f>
        <v>17.29</v>
      </c>
      <c r="F695" s="1">
        <f>IFERROR(__xludf.DUMMYFUNCTION("""COMPUTED_VALUE"""),157621.0)</f>
        <v>157621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IFERROR(__xludf.DUMMYFUNCTION("""COMPUTED_VALUE"""),17.32)</f>
        <v>17.32</v>
      </c>
      <c r="C696" s="1">
        <f>IFERROR(__xludf.DUMMYFUNCTION("""COMPUTED_VALUE"""),17.38)</f>
        <v>17.38</v>
      </c>
      <c r="D696" s="1">
        <f>IFERROR(__xludf.DUMMYFUNCTION("""COMPUTED_VALUE"""),17.04)</f>
        <v>17.04</v>
      </c>
      <c r="E696" s="1">
        <f>IFERROR(__xludf.DUMMYFUNCTION("""COMPUTED_VALUE"""),17.16)</f>
        <v>17.16</v>
      </c>
      <c r="F696" s="1">
        <f>IFERROR(__xludf.DUMMYFUNCTION("""COMPUTED_VALUE"""),191017.0)</f>
        <v>191017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IFERROR(__xludf.DUMMYFUNCTION("""COMPUTED_VALUE"""),17.26)</f>
        <v>17.26</v>
      </c>
      <c r="C697" s="1">
        <f>IFERROR(__xludf.DUMMYFUNCTION("""COMPUTED_VALUE"""),17.77)</f>
        <v>17.77</v>
      </c>
      <c r="D697" s="1">
        <f>IFERROR(__xludf.DUMMYFUNCTION("""COMPUTED_VALUE"""),17.25)</f>
        <v>17.25</v>
      </c>
      <c r="E697" s="1">
        <f>IFERROR(__xludf.DUMMYFUNCTION("""COMPUTED_VALUE"""),17.75)</f>
        <v>17.75</v>
      </c>
      <c r="F697" s="1">
        <f>IFERROR(__xludf.DUMMYFUNCTION("""COMPUTED_VALUE"""),239946.0)</f>
        <v>239946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IFERROR(__xludf.DUMMYFUNCTION("""COMPUTED_VALUE"""),17.84)</f>
        <v>17.84</v>
      </c>
      <c r="C698" s="1">
        <f>IFERROR(__xludf.DUMMYFUNCTION("""COMPUTED_VALUE"""),18.0)</f>
        <v>18</v>
      </c>
      <c r="D698" s="1">
        <f>IFERROR(__xludf.DUMMYFUNCTION("""COMPUTED_VALUE"""),17.7)</f>
        <v>17.7</v>
      </c>
      <c r="E698" s="1">
        <f>IFERROR(__xludf.DUMMYFUNCTION("""COMPUTED_VALUE"""),17.76)</f>
        <v>17.76</v>
      </c>
      <c r="F698" s="1">
        <f>IFERROR(__xludf.DUMMYFUNCTION("""COMPUTED_VALUE"""),262153.0)</f>
        <v>262153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IFERROR(__xludf.DUMMYFUNCTION("""COMPUTED_VALUE"""),17.61)</f>
        <v>17.61</v>
      </c>
      <c r="C699" s="1">
        <f>IFERROR(__xludf.DUMMYFUNCTION("""COMPUTED_VALUE"""),17.74)</f>
        <v>17.74</v>
      </c>
      <c r="D699" s="1">
        <f>IFERROR(__xludf.DUMMYFUNCTION("""COMPUTED_VALUE"""),17.51)</f>
        <v>17.51</v>
      </c>
      <c r="E699" s="1">
        <f>IFERROR(__xludf.DUMMYFUNCTION("""COMPUTED_VALUE"""),17.57)</f>
        <v>17.57</v>
      </c>
      <c r="F699" s="1">
        <f>IFERROR(__xludf.DUMMYFUNCTION("""COMPUTED_VALUE"""),105383.0)</f>
        <v>105383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IFERROR(__xludf.DUMMYFUNCTION("""COMPUTED_VALUE"""),17.54)</f>
        <v>17.54</v>
      </c>
      <c r="C700" s="1">
        <f>IFERROR(__xludf.DUMMYFUNCTION("""COMPUTED_VALUE"""),17.6)</f>
        <v>17.6</v>
      </c>
      <c r="D700" s="1">
        <f>IFERROR(__xludf.DUMMYFUNCTION("""COMPUTED_VALUE"""),17.24)</f>
        <v>17.24</v>
      </c>
      <c r="E700" s="1">
        <f>IFERROR(__xludf.DUMMYFUNCTION("""COMPUTED_VALUE"""),17.43)</f>
        <v>17.43</v>
      </c>
      <c r="F700" s="1">
        <f>IFERROR(__xludf.DUMMYFUNCTION("""COMPUTED_VALUE"""),174416.0)</f>
        <v>174416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IFERROR(__xludf.DUMMYFUNCTION("""COMPUTED_VALUE"""),17.46)</f>
        <v>17.46</v>
      </c>
      <c r="C701" s="1">
        <f>IFERROR(__xludf.DUMMYFUNCTION("""COMPUTED_VALUE"""),17.59)</f>
        <v>17.59</v>
      </c>
      <c r="D701" s="1">
        <f>IFERROR(__xludf.DUMMYFUNCTION("""COMPUTED_VALUE"""),17.35)</f>
        <v>17.35</v>
      </c>
      <c r="E701" s="1">
        <f>IFERROR(__xludf.DUMMYFUNCTION("""COMPUTED_VALUE"""),17.51)</f>
        <v>17.51</v>
      </c>
      <c r="F701" s="1">
        <f>IFERROR(__xludf.DUMMYFUNCTION("""COMPUTED_VALUE"""),113550.0)</f>
        <v>113550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IFERROR(__xludf.DUMMYFUNCTION("""COMPUTED_VALUE"""),17.65)</f>
        <v>17.65</v>
      </c>
      <c r="C702" s="1">
        <f>IFERROR(__xludf.DUMMYFUNCTION("""COMPUTED_VALUE"""),17.83)</f>
        <v>17.83</v>
      </c>
      <c r="D702" s="1">
        <f>IFERROR(__xludf.DUMMYFUNCTION("""COMPUTED_VALUE"""),17.47)</f>
        <v>17.47</v>
      </c>
      <c r="E702" s="1">
        <f>IFERROR(__xludf.DUMMYFUNCTION("""COMPUTED_VALUE"""),17.59)</f>
        <v>17.59</v>
      </c>
      <c r="F702" s="1">
        <f>IFERROR(__xludf.DUMMYFUNCTION("""COMPUTED_VALUE"""),127268.0)</f>
        <v>127268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IFERROR(__xludf.DUMMYFUNCTION("""COMPUTED_VALUE"""),17.46)</f>
        <v>17.46</v>
      </c>
      <c r="C703" s="1">
        <f>IFERROR(__xludf.DUMMYFUNCTION("""COMPUTED_VALUE"""),17.46)</f>
        <v>17.46</v>
      </c>
      <c r="D703" s="1">
        <f>IFERROR(__xludf.DUMMYFUNCTION("""COMPUTED_VALUE"""),16.97)</f>
        <v>16.97</v>
      </c>
      <c r="E703" s="1">
        <f>IFERROR(__xludf.DUMMYFUNCTION("""COMPUTED_VALUE"""),17.0)</f>
        <v>17</v>
      </c>
      <c r="F703" s="1">
        <f>IFERROR(__xludf.DUMMYFUNCTION("""COMPUTED_VALUE"""),182732.0)</f>
        <v>182732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IFERROR(__xludf.DUMMYFUNCTION("""COMPUTED_VALUE"""),17.12)</f>
        <v>17.12</v>
      </c>
      <c r="C704" s="1">
        <f>IFERROR(__xludf.DUMMYFUNCTION("""COMPUTED_VALUE"""),17.29)</f>
        <v>17.29</v>
      </c>
      <c r="D704" s="1">
        <f>IFERROR(__xludf.DUMMYFUNCTION("""COMPUTED_VALUE"""),16.99)</f>
        <v>16.99</v>
      </c>
      <c r="E704" s="1">
        <f>IFERROR(__xludf.DUMMYFUNCTION("""COMPUTED_VALUE"""),17.12)</f>
        <v>17.12</v>
      </c>
      <c r="F704" s="1">
        <f>IFERROR(__xludf.DUMMYFUNCTION("""COMPUTED_VALUE"""),136596.0)</f>
        <v>136596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IFERROR(__xludf.DUMMYFUNCTION("""COMPUTED_VALUE"""),17.27)</f>
        <v>17.27</v>
      </c>
      <c r="C705" s="1">
        <f>IFERROR(__xludf.DUMMYFUNCTION("""COMPUTED_VALUE"""),17.38)</f>
        <v>17.38</v>
      </c>
      <c r="D705" s="1">
        <f>IFERROR(__xludf.DUMMYFUNCTION("""COMPUTED_VALUE"""),16.76)</f>
        <v>16.76</v>
      </c>
      <c r="E705" s="1">
        <f>IFERROR(__xludf.DUMMYFUNCTION("""COMPUTED_VALUE"""),16.92)</f>
        <v>16.92</v>
      </c>
      <c r="F705" s="1">
        <f>IFERROR(__xludf.DUMMYFUNCTION("""COMPUTED_VALUE"""),308250.0)</f>
        <v>308250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IFERROR(__xludf.DUMMYFUNCTION("""COMPUTED_VALUE"""),18.0)</f>
        <v>18</v>
      </c>
      <c r="C706" s="1">
        <f>IFERROR(__xludf.DUMMYFUNCTION("""COMPUTED_VALUE"""),19.15)</f>
        <v>19.15</v>
      </c>
      <c r="D706" s="1">
        <f>IFERROR(__xludf.DUMMYFUNCTION("""COMPUTED_VALUE"""),17.69)</f>
        <v>17.69</v>
      </c>
      <c r="E706" s="1">
        <f>IFERROR(__xludf.DUMMYFUNCTION("""COMPUTED_VALUE"""),18.87)</f>
        <v>18.87</v>
      </c>
      <c r="F706" s="1">
        <f>IFERROR(__xludf.DUMMYFUNCTION("""COMPUTED_VALUE"""),1282007.0)</f>
        <v>1282007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IFERROR(__xludf.DUMMYFUNCTION("""COMPUTED_VALUE"""),18.9)</f>
        <v>18.9</v>
      </c>
      <c r="C707" s="1">
        <f>IFERROR(__xludf.DUMMYFUNCTION("""COMPUTED_VALUE"""),19.23)</f>
        <v>19.23</v>
      </c>
      <c r="D707" s="1">
        <f>IFERROR(__xludf.DUMMYFUNCTION("""COMPUTED_VALUE"""),18.54)</f>
        <v>18.54</v>
      </c>
      <c r="E707" s="1">
        <f>IFERROR(__xludf.DUMMYFUNCTION("""COMPUTED_VALUE"""),18.56)</f>
        <v>18.56</v>
      </c>
      <c r="F707" s="1">
        <f>IFERROR(__xludf.DUMMYFUNCTION("""COMPUTED_VALUE"""),685946.0)</f>
        <v>685946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IFERROR(__xludf.DUMMYFUNCTION("""COMPUTED_VALUE"""),18.49)</f>
        <v>18.49</v>
      </c>
      <c r="C708" s="1">
        <f>IFERROR(__xludf.DUMMYFUNCTION("""COMPUTED_VALUE"""),18.64)</f>
        <v>18.64</v>
      </c>
      <c r="D708" s="1">
        <f>IFERROR(__xludf.DUMMYFUNCTION("""COMPUTED_VALUE"""),18.03)</f>
        <v>18.03</v>
      </c>
      <c r="E708" s="1">
        <f>IFERROR(__xludf.DUMMYFUNCTION("""COMPUTED_VALUE"""),18.11)</f>
        <v>18.11</v>
      </c>
      <c r="F708" s="1">
        <f>IFERROR(__xludf.DUMMYFUNCTION("""COMPUTED_VALUE"""),476028.0)</f>
        <v>476028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IFERROR(__xludf.DUMMYFUNCTION("""COMPUTED_VALUE"""),18.1)</f>
        <v>18.1</v>
      </c>
      <c r="C709" s="1">
        <f>IFERROR(__xludf.DUMMYFUNCTION("""COMPUTED_VALUE"""),18.16)</f>
        <v>18.16</v>
      </c>
      <c r="D709" s="1">
        <f>IFERROR(__xludf.DUMMYFUNCTION("""COMPUTED_VALUE"""),17.92)</f>
        <v>17.92</v>
      </c>
      <c r="E709" s="1">
        <f>IFERROR(__xludf.DUMMYFUNCTION("""COMPUTED_VALUE"""),18.12)</f>
        <v>18.12</v>
      </c>
      <c r="F709" s="1">
        <f>IFERROR(__xludf.DUMMYFUNCTION("""COMPUTED_VALUE"""),526163.0)</f>
        <v>526163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IFERROR(__xludf.DUMMYFUNCTION("""COMPUTED_VALUE"""),17.89)</f>
        <v>17.89</v>
      </c>
      <c r="C710" s="1">
        <f>IFERROR(__xludf.DUMMYFUNCTION("""COMPUTED_VALUE"""),18.18)</f>
        <v>18.18</v>
      </c>
      <c r="D710" s="1">
        <f>IFERROR(__xludf.DUMMYFUNCTION("""COMPUTED_VALUE"""),17.63)</f>
        <v>17.63</v>
      </c>
      <c r="E710" s="1">
        <f>IFERROR(__xludf.DUMMYFUNCTION("""COMPUTED_VALUE"""),18.06)</f>
        <v>18.06</v>
      </c>
      <c r="F710" s="1">
        <f>IFERROR(__xludf.DUMMYFUNCTION("""COMPUTED_VALUE"""),421345.0)</f>
        <v>421345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IFERROR(__xludf.DUMMYFUNCTION("""COMPUTED_VALUE"""),18.18)</f>
        <v>18.18</v>
      </c>
      <c r="C711" s="1">
        <f>IFERROR(__xludf.DUMMYFUNCTION("""COMPUTED_VALUE"""),18.33)</f>
        <v>18.33</v>
      </c>
      <c r="D711" s="1">
        <f>IFERROR(__xludf.DUMMYFUNCTION("""COMPUTED_VALUE"""),17.96)</f>
        <v>17.96</v>
      </c>
      <c r="E711" s="1">
        <f>IFERROR(__xludf.DUMMYFUNCTION("""COMPUTED_VALUE"""),18.04)</f>
        <v>18.04</v>
      </c>
      <c r="F711" s="1">
        <f>IFERROR(__xludf.DUMMYFUNCTION("""COMPUTED_VALUE"""),250498.0)</f>
        <v>250498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IFERROR(__xludf.DUMMYFUNCTION("""COMPUTED_VALUE"""),18.15)</f>
        <v>18.15</v>
      </c>
      <c r="C712" s="1">
        <f>IFERROR(__xludf.DUMMYFUNCTION("""COMPUTED_VALUE"""),18.32)</f>
        <v>18.32</v>
      </c>
      <c r="D712" s="1">
        <f>IFERROR(__xludf.DUMMYFUNCTION("""COMPUTED_VALUE"""),17.89)</f>
        <v>17.89</v>
      </c>
      <c r="E712" s="1">
        <f>IFERROR(__xludf.DUMMYFUNCTION("""COMPUTED_VALUE"""),18.08)</f>
        <v>18.08</v>
      </c>
      <c r="F712" s="1">
        <f>IFERROR(__xludf.DUMMYFUNCTION("""COMPUTED_VALUE"""),300368.0)</f>
        <v>300368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IFERROR(__xludf.DUMMYFUNCTION("""COMPUTED_VALUE"""),18.05)</f>
        <v>18.05</v>
      </c>
      <c r="C713" s="1">
        <f>IFERROR(__xludf.DUMMYFUNCTION("""COMPUTED_VALUE"""),18.15)</f>
        <v>18.15</v>
      </c>
      <c r="D713" s="1">
        <f>IFERROR(__xludf.DUMMYFUNCTION("""COMPUTED_VALUE"""),17.81)</f>
        <v>17.81</v>
      </c>
      <c r="E713" s="1">
        <f>IFERROR(__xludf.DUMMYFUNCTION("""COMPUTED_VALUE"""),17.87)</f>
        <v>17.87</v>
      </c>
      <c r="F713" s="1">
        <f>IFERROR(__xludf.DUMMYFUNCTION("""COMPUTED_VALUE"""),178286.0)</f>
        <v>178286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IFERROR(__xludf.DUMMYFUNCTION("""COMPUTED_VALUE"""),17.85)</f>
        <v>17.85</v>
      </c>
      <c r="C714" s="1">
        <f>IFERROR(__xludf.DUMMYFUNCTION("""COMPUTED_VALUE"""),17.89)</f>
        <v>17.89</v>
      </c>
      <c r="D714" s="1">
        <f>IFERROR(__xludf.DUMMYFUNCTION("""COMPUTED_VALUE"""),17.39)</f>
        <v>17.39</v>
      </c>
      <c r="E714" s="1">
        <f>IFERROR(__xludf.DUMMYFUNCTION("""COMPUTED_VALUE"""),17.68)</f>
        <v>17.68</v>
      </c>
      <c r="F714" s="1">
        <f>IFERROR(__xludf.DUMMYFUNCTION("""COMPUTED_VALUE"""),211665.0)</f>
        <v>211665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IFERROR(__xludf.DUMMYFUNCTION("""COMPUTED_VALUE"""),17.76)</f>
        <v>17.76</v>
      </c>
      <c r="C715" s="1">
        <f>IFERROR(__xludf.DUMMYFUNCTION("""COMPUTED_VALUE"""),18.33)</f>
        <v>18.33</v>
      </c>
      <c r="D715" s="1">
        <f>IFERROR(__xludf.DUMMYFUNCTION("""COMPUTED_VALUE"""),17.7)</f>
        <v>17.7</v>
      </c>
      <c r="E715" s="1">
        <f>IFERROR(__xludf.DUMMYFUNCTION("""COMPUTED_VALUE"""),18.26)</f>
        <v>18.26</v>
      </c>
      <c r="F715" s="1">
        <f>IFERROR(__xludf.DUMMYFUNCTION("""COMPUTED_VALUE"""),440880.0)</f>
        <v>440880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IFERROR(__xludf.DUMMYFUNCTION("""COMPUTED_VALUE"""),18.19)</f>
        <v>18.19</v>
      </c>
      <c r="C716" s="1">
        <f>IFERROR(__xludf.DUMMYFUNCTION("""COMPUTED_VALUE"""),18.27)</f>
        <v>18.27</v>
      </c>
      <c r="D716" s="1">
        <f>IFERROR(__xludf.DUMMYFUNCTION("""COMPUTED_VALUE"""),17.54)</f>
        <v>17.54</v>
      </c>
      <c r="E716" s="1">
        <f>IFERROR(__xludf.DUMMYFUNCTION("""COMPUTED_VALUE"""),17.54)</f>
        <v>17.54</v>
      </c>
      <c r="F716" s="1">
        <f>IFERROR(__xludf.DUMMYFUNCTION("""COMPUTED_VALUE"""),334243.0)</f>
        <v>334243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IFERROR(__xludf.DUMMYFUNCTION("""COMPUTED_VALUE"""),17.57)</f>
        <v>17.57</v>
      </c>
      <c r="C717" s="1">
        <f>IFERROR(__xludf.DUMMYFUNCTION("""COMPUTED_VALUE"""),17.75)</f>
        <v>17.75</v>
      </c>
      <c r="D717" s="1">
        <f>IFERROR(__xludf.DUMMYFUNCTION("""COMPUTED_VALUE"""),17.35)</f>
        <v>17.35</v>
      </c>
      <c r="E717" s="1">
        <f>IFERROR(__xludf.DUMMYFUNCTION("""COMPUTED_VALUE"""),17.66)</f>
        <v>17.66</v>
      </c>
      <c r="F717" s="1">
        <f>IFERROR(__xludf.DUMMYFUNCTION("""COMPUTED_VALUE"""),134052.0)</f>
        <v>134052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IFERROR(__xludf.DUMMYFUNCTION("""COMPUTED_VALUE"""),17.79)</f>
        <v>17.79</v>
      </c>
      <c r="C718" s="1">
        <f>IFERROR(__xludf.DUMMYFUNCTION("""COMPUTED_VALUE"""),18.06)</f>
        <v>18.06</v>
      </c>
      <c r="D718" s="1">
        <f>IFERROR(__xludf.DUMMYFUNCTION("""COMPUTED_VALUE"""),17.78)</f>
        <v>17.78</v>
      </c>
      <c r="E718" s="1">
        <f>IFERROR(__xludf.DUMMYFUNCTION("""COMPUTED_VALUE"""),17.86)</f>
        <v>17.86</v>
      </c>
      <c r="F718" s="1">
        <f>IFERROR(__xludf.DUMMYFUNCTION("""COMPUTED_VALUE"""),166959.0)</f>
        <v>166959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IFERROR(__xludf.DUMMYFUNCTION("""COMPUTED_VALUE"""),17.56)</f>
        <v>17.56</v>
      </c>
      <c r="C719" s="1">
        <f>IFERROR(__xludf.DUMMYFUNCTION("""COMPUTED_VALUE"""),17.74)</f>
        <v>17.74</v>
      </c>
      <c r="D719" s="1">
        <f>IFERROR(__xludf.DUMMYFUNCTION("""COMPUTED_VALUE"""),17.14)</f>
        <v>17.14</v>
      </c>
      <c r="E719" s="1">
        <f>IFERROR(__xludf.DUMMYFUNCTION("""COMPUTED_VALUE"""),17.16)</f>
        <v>17.16</v>
      </c>
      <c r="F719" s="1">
        <f>IFERROR(__xludf.DUMMYFUNCTION("""COMPUTED_VALUE"""),358602.0)</f>
        <v>358602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IFERROR(__xludf.DUMMYFUNCTION("""COMPUTED_VALUE"""),17.16)</f>
        <v>17.16</v>
      </c>
      <c r="C720" s="1">
        <f>IFERROR(__xludf.DUMMYFUNCTION("""COMPUTED_VALUE"""),17.4)</f>
        <v>17.4</v>
      </c>
      <c r="D720" s="1">
        <f>IFERROR(__xludf.DUMMYFUNCTION("""COMPUTED_VALUE"""),16.78)</f>
        <v>16.78</v>
      </c>
      <c r="E720" s="1">
        <f>IFERROR(__xludf.DUMMYFUNCTION("""COMPUTED_VALUE"""),16.78)</f>
        <v>16.78</v>
      </c>
      <c r="F720" s="1">
        <f>IFERROR(__xludf.DUMMYFUNCTION("""COMPUTED_VALUE"""),224853.0)</f>
        <v>224853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IFERROR(__xludf.DUMMYFUNCTION("""COMPUTED_VALUE"""),16.68)</f>
        <v>16.68</v>
      </c>
      <c r="C721" s="1">
        <f>IFERROR(__xludf.DUMMYFUNCTION("""COMPUTED_VALUE"""),17.22)</f>
        <v>17.22</v>
      </c>
      <c r="D721" s="1">
        <f>IFERROR(__xludf.DUMMYFUNCTION("""COMPUTED_VALUE"""),16.68)</f>
        <v>16.68</v>
      </c>
      <c r="E721" s="1">
        <f>IFERROR(__xludf.DUMMYFUNCTION("""COMPUTED_VALUE"""),17.0)</f>
        <v>17</v>
      </c>
      <c r="F721" s="1">
        <f>IFERROR(__xludf.DUMMYFUNCTION("""COMPUTED_VALUE"""),198127.0)</f>
        <v>198127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IFERROR(__xludf.DUMMYFUNCTION("""COMPUTED_VALUE"""),17.13)</f>
        <v>17.13</v>
      </c>
      <c r="C722" s="1">
        <f>IFERROR(__xludf.DUMMYFUNCTION("""COMPUTED_VALUE"""),17.33)</f>
        <v>17.33</v>
      </c>
      <c r="D722" s="1">
        <f>IFERROR(__xludf.DUMMYFUNCTION("""COMPUTED_VALUE"""),17.1)</f>
        <v>17.1</v>
      </c>
      <c r="E722" s="1">
        <f>IFERROR(__xludf.DUMMYFUNCTION("""COMPUTED_VALUE"""),17.24)</f>
        <v>17.24</v>
      </c>
      <c r="F722" s="1">
        <f>IFERROR(__xludf.DUMMYFUNCTION("""COMPUTED_VALUE"""),313643.0)</f>
        <v>313643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IFERROR(__xludf.DUMMYFUNCTION("""COMPUTED_VALUE"""),17.07)</f>
        <v>17.07</v>
      </c>
      <c r="C723" s="1">
        <f>IFERROR(__xludf.DUMMYFUNCTION("""COMPUTED_VALUE"""),17.41)</f>
        <v>17.41</v>
      </c>
      <c r="D723" s="1">
        <f>IFERROR(__xludf.DUMMYFUNCTION("""COMPUTED_VALUE"""),17.07)</f>
        <v>17.07</v>
      </c>
      <c r="E723" s="1">
        <f>IFERROR(__xludf.DUMMYFUNCTION("""COMPUTED_VALUE"""),17.11)</f>
        <v>17.11</v>
      </c>
      <c r="F723" s="1">
        <f>IFERROR(__xludf.DUMMYFUNCTION("""COMPUTED_VALUE"""),328279.0)</f>
        <v>328279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IFERROR(__xludf.DUMMYFUNCTION("""COMPUTED_VALUE"""),17.15)</f>
        <v>17.15</v>
      </c>
      <c r="C724" s="1">
        <f>IFERROR(__xludf.DUMMYFUNCTION("""COMPUTED_VALUE"""),17.36)</f>
        <v>17.36</v>
      </c>
      <c r="D724" s="1">
        <f>IFERROR(__xludf.DUMMYFUNCTION("""COMPUTED_VALUE"""),16.85)</f>
        <v>16.85</v>
      </c>
      <c r="E724" s="1">
        <f>IFERROR(__xludf.DUMMYFUNCTION("""COMPUTED_VALUE"""),16.88)</f>
        <v>16.88</v>
      </c>
      <c r="F724" s="1">
        <f>IFERROR(__xludf.DUMMYFUNCTION("""COMPUTED_VALUE"""),423543.0)</f>
        <v>423543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IFERROR(__xludf.DUMMYFUNCTION("""COMPUTED_VALUE"""),16.9)</f>
        <v>16.9</v>
      </c>
      <c r="C725" s="1">
        <f>IFERROR(__xludf.DUMMYFUNCTION("""COMPUTED_VALUE"""),16.9)</f>
        <v>16.9</v>
      </c>
      <c r="D725" s="1">
        <f>IFERROR(__xludf.DUMMYFUNCTION("""COMPUTED_VALUE"""),16.57)</f>
        <v>16.57</v>
      </c>
      <c r="E725" s="1">
        <f>IFERROR(__xludf.DUMMYFUNCTION("""COMPUTED_VALUE"""),16.61)</f>
        <v>16.61</v>
      </c>
      <c r="F725" s="1">
        <f>IFERROR(__xludf.DUMMYFUNCTION("""COMPUTED_VALUE"""),239403.0)</f>
        <v>239403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IFERROR(__xludf.DUMMYFUNCTION("""COMPUTED_VALUE"""),16.58)</f>
        <v>16.58</v>
      </c>
      <c r="C726" s="1">
        <f>IFERROR(__xludf.DUMMYFUNCTION("""COMPUTED_VALUE"""),16.83)</f>
        <v>16.83</v>
      </c>
      <c r="D726" s="1">
        <f>IFERROR(__xludf.DUMMYFUNCTION("""COMPUTED_VALUE"""),16.38)</f>
        <v>16.38</v>
      </c>
      <c r="E726" s="1">
        <f>IFERROR(__xludf.DUMMYFUNCTION("""COMPUTED_VALUE"""),16.8)</f>
        <v>16.8</v>
      </c>
      <c r="F726" s="1">
        <f>IFERROR(__xludf.DUMMYFUNCTION("""COMPUTED_VALUE"""),236984.0)</f>
        <v>236984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IFERROR(__xludf.DUMMYFUNCTION("""COMPUTED_VALUE"""),17.0)</f>
        <v>17</v>
      </c>
      <c r="C727" s="1">
        <f>IFERROR(__xludf.DUMMYFUNCTION("""COMPUTED_VALUE"""),17.11)</f>
        <v>17.11</v>
      </c>
      <c r="D727" s="1">
        <f>IFERROR(__xludf.DUMMYFUNCTION("""COMPUTED_VALUE"""),16.74)</f>
        <v>16.74</v>
      </c>
      <c r="E727" s="1">
        <f>IFERROR(__xludf.DUMMYFUNCTION("""COMPUTED_VALUE"""),17.11)</f>
        <v>17.11</v>
      </c>
      <c r="F727" s="1">
        <f>IFERROR(__xludf.DUMMYFUNCTION("""COMPUTED_VALUE"""),207781.0)</f>
        <v>207781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IFERROR(__xludf.DUMMYFUNCTION("""COMPUTED_VALUE"""),17.01)</f>
        <v>17.01</v>
      </c>
      <c r="C728" s="1">
        <f>IFERROR(__xludf.DUMMYFUNCTION("""COMPUTED_VALUE"""),17.37)</f>
        <v>17.37</v>
      </c>
      <c r="D728" s="1">
        <f>IFERROR(__xludf.DUMMYFUNCTION("""COMPUTED_VALUE"""),16.82)</f>
        <v>16.82</v>
      </c>
      <c r="E728" s="1">
        <f>IFERROR(__xludf.DUMMYFUNCTION("""COMPUTED_VALUE"""),17.37)</f>
        <v>17.37</v>
      </c>
      <c r="F728" s="1">
        <f>IFERROR(__xludf.DUMMYFUNCTION("""COMPUTED_VALUE"""),225400.0)</f>
        <v>225400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IFERROR(__xludf.DUMMYFUNCTION("""COMPUTED_VALUE"""),17.43)</f>
        <v>17.43</v>
      </c>
      <c r="C729" s="1">
        <f>IFERROR(__xludf.DUMMYFUNCTION("""COMPUTED_VALUE"""),17.46)</f>
        <v>17.46</v>
      </c>
      <c r="D729" s="1">
        <f>IFERROR(__xludf.DUMMYFUNCTION("""COMPUTED_VALUE"""),17.26)</f>
        <v>17.26</v>
      </c>
      <c r="E729" s="1">
        <f>IFERROR(__xludf.DUMMYFUNCTION("""COMPUTED_VALUE"""),17.44)</f>
        <v>17.44</v>
      </c>
      <c r="F729" s="1">
        <f>IFERROR(__xludf.DUMMYFUNCTION("""COMPUTED_VALUE"""),127358.0)</f>
        <v>127358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IFERROR(__xludf.DUMMYFUNCTION("""COMPUTED_VALUE"""),17.55)</f>
        <v>17.55</v>
      </c>
      <c r="C730" s="1">
        <f>IFERROR(__xludf.DUMMYFUNCTION("""COMPUTED_VALUE"""),17.91)</f>
        <v>17.91</v>
      </c>
      <c r="D730" s="1">
        <f>IFERROR(__xludf.DUMMYFUNCTION("""COMPUTED_VALUE"""),17.39)</f>
        <v>17.39</v>
      </c>
      <c r="E730" s="1">
        <f>IFERROR(__xludf.DUMMYFUNCTION("""COMPUTED_VALUE"""),17.91)</f>
        <v>17.91</v>
      </c>
      <c r="F730" s="1">
        <f>IFERROR(__xludf.DUMMYFUNCTION("""COMPUTED_VALUE"""),151818.0)</f>
        <v>151818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IFERROR(__xludf.DUMMYFUNCTION("""COMPUTED_VALUE"""),17.8)</f>
        <v>17.8</v>
      </c>
      <c r="C731" s="1">
        <f>IFERROR(__xludf.DUMMYFUNCTION("""COMPUTED_VALUE"""),17.87)</f>
        <v>17.87</v>
      </c>
      <c r="D731" s="1">
        <f>IFERROR(__xludf.DUMMYFUNCTION("""COMPUTED_VALUE"""),17.65)</f>
        <v>17.65</v>
      </c>
      <c r="E731" s="1">
        <f>IFERROR(__xludf.DUMMYFUNCTION("""COMPUTED_VALUE"""),17.85)</f>
        <v>17.85</v>
      </c>
      <c r="F731" s="1">
        <f>IFERROR(__xludf.DUMMYFUNCTION("""COMPUTED_VALUE"""),166747.0)</f>
        <v>166747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IFERROR(__xludf.DUMMYFUNCTION("""COMPUTED_VALUE"""),17.8)</f>
        <v>17.8</v>
      </c>
      <c r="C732" s="1">
        <f>IFERROR(__xludf.DUMMYFUNCTION("""COMPUTED_VALUE"""),17.87)</f>
        <v>17.87</v>
      </c>
      <c r="D732" s="1">
        <f>IFERROR(__xludf.DUMMYFUNCTION("""COMPUTED_VALUE"""),17.64)</f>
        <v>17.64</v>
      </c>
      <c r="E732" s="1">
        <f>IFERROR(__xludf.DUMMYFUNCTION("""COMPUTED_VALUE"""),17.68)</f>
        <v>17.68</v>
      </c>
      <c r="F732" s="1">
        <f>IFERROR(__xludf.DUMMYFUNCTION("""COMPUTED_VALUE"""),271282.0)</f>
        <v>271282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IFERROR(__xludf.DUMMYFUNCTION("""COMPUTED_VALUE"""),17.53)</f>
        <v>17.53</v>
      </c>
      <c r="C733" s="1">
        <f>IFERROR(__xludf.DUMMYFUNCTION("""COMPUTED_VALUE"""),17.78)</f>
        <v>17.78</v>
      </c>
      <c r="D733" s="1">
        <f>IFERROR(__xludf.DUMMYFUNCTION("""COMPUTED_VALUE"""),17.39)</f>
        <v>17.39</v>
      </c>
      <c r="E733" s="1">
        <f>IFERROR(__xludf.DUMMYFUNCTION("""COMPUTED_VALUE"""),17.73)</f>
        <v>17.73</v>
      </c>
      <c r="F733" s="1">
        <f>IFERROR(__xludf.DUMMYFUNCTION("""COMPUTED_VALUE"""),235226.0)</f>
        <v>235226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IFERROR(__xludf.DUMMYFUNCTION("""COMPUTED_VALUE"""),17.94)</f>
        <v>17.94</v>
      </c>
      <c r="C734" s="1">
        <f>IFERROR(__xludf.DUMMYFUNCTION("""COMPUTED_VALUE"""),18.06)</f>
        <v>18.06</v>
      </c>
      <c r="D734" s="1">
        <f>IFERROR(__xludf.DUMMYFUNCTION("""COMPUTED_VALUE"""),17.71)</f>
        <v>17.71</v>
      </c>
      <c r="E734" s="1">
        <f>IFERROR(__xludf.DUMMYFUNCTION("""COMPUTED_VALUE"""),18.02)</f>
        <v>18.02</v>
      </c>
      <c r="F734" s="1">
        <f>IFERROR(__xludf.DUMMYFUNCTION("""COMPUTED_VALUE"""),307558.0)</f>
        <v>307558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IFERROR(__xludf.DUMMYFUNCTION("""COMPUTED_VALUE"""),18.02)</f>
        <v>18.02</v>
      </c>
      <c r="C735" s="1">
        <f>IFERROR(__xludf.DUMMYFUNCTION("""COMPUTED_VALUE"""),18.1)</f>
        <v>18.1</v>
      </c>
      <c r="D735" s="1">
        <f>IFERROR(__xludf.DUMMYFUNCTION("""COMPUTED_VALUE"""),17.82)</f>
        <v>17.82</v>
      </c>
      <c r="E735" s="1">
        <f>IFERROR(__xludf.DUMMYFUNCTION("""COMPUTED_VALUE"""),17.9)</f>
        <v>17.9</v>
      </c>
      <c r="F735" s="1">
        <f>IFERROR(__xludf.DUMMYFUNCTION("""COMPUTED_VALUE"""),275505.0)</f>
        <v>275505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IFERROR(__xludf.DUMMYFUNCTION("""COMPUTED_VALUE"""),18.02)</f>
        <v>18.02</v>
      </c>
      <c r="C736" s="1">
        <f>IFERROR(__xludf.DUMMYFUNCTION("""COMPUTED_VALUE"""),18.1)</f>
        <v>18.1</v>
      </c>
      <c r="D736" s="1">
        <f>IFERROR(__xludf.DUMMYFUNCTION("""COMPUTED_VALUE"""),17.65)</f>
        <v>17.65</v>
      </c>
      <c r="E736" s="1">
        <f>IFERROR(__xludf.DUMMYFUNCTION("""COMPUTED_VALUE"""),17.73)</f>
        <v>17.73</v>
      </c>
      <c r="F736" s="1">
        <f>IFERROR(__xludf.DUMMYFUNCTION("""COMPUTED_VALUE"""),162322.0)</f>
        <v>162322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IFERROR(__xludf.DUMMYFUNCTION("""COMPUTED_VALUE"""),17.76)</f>
        <v>17.76</v>
      </c>
      <c r="C737" s="1">
        <f>IFERROR(__xludf.DUMMYFUNCTION("""COMPUTED_VALUE"""),17.89)</f>
        <v>17.89</v>
      </c>
      <c r="D737" s="1">
        <f>IFERROR(__xludf.DUMMYFUNCTION("""COMPUTED_VALUE"""),17.58)</f>
        <v>17.58</v>
      </c>
      <c r="E737" s="1">
        <f>IFERROR(__xludf.DUMMYFUNCTION("""COMPUTED_VALUE"""),17.83)</f>
        <v>17.83</v>
      </c>
      <c r="F737" s="1">
        <f>IFERROR(__xludf.DUMMYFUNCTION("""COMPUTED_VALUE"""),180832.0)</f>
        <v>180832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IFERROR(__xludf.DUMMYFUNCTION("""COMPUTED_VALUE"""),17.9)</f>
        <v>17.9</v>
      </c>
      <c r="C738" s="1">
        <f>IFERROR(__xludf.DUMMYFUNCTION("""COMPUTED_VALUE"""),17.96)</f>
        <v>17.96</v>
      </c>
      <c r="D738" s="1">
        <f>IFERROR(__xludf.DUMMYFUNCTION("""COMPUTED_VALUE"""),17.61)</f>
        <v>17.61</v>
      </c>
      <c r="E738" s="1">
        <f>IFERROR(__xludf.DUMMYFUNCTION("""COMPUTED_VALUE"""),17.76)</f>
        <v>17.76</v>
      </c>
      <c r="F738" s="1">
        <f>IFERROR(__xludf.DUMMYFUNCTION("""COMPUTED_VALUE"""),149490.0)</f>
        <v>149490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IFERROR(__xludf.DUMMYFUNCTION("""COMPUTED_VALUE"""),17.75)</f>
        <v>17.75</v>
      </c>
      <c r="C739" s="1">
        <f>IFERROR(__xludf.DUMMYFUNCTION("""COMPUTED_VALUE"""),17.93)</f>
        <v>17.93</v>
      </c>
      <c r="D739" s="1">
        <f>IFERROR(__xludf.DUMMYFUNCTION("""COMPUTED_VALUE"""),17.68)</f>
        <v>17.68</v>
      </c>
      <c r="E739" s="1">
        <f>IFERROR(__xludf.DUMMYFUNCTION("""COMPUTED_VALUE"""),17.8)</f>
        <v>17.8</v>
      </c>
      <c r="F739" s="1">
        <f>IFERROR(__xludf.DUMMYFUNCTION("""COMPUTED_VALUE"""),136007.0)</f>
        <v>136007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IFERROR(__xludf.DUMMYFUNCTION("""COMPUTED_VALUE"""),17.86)</f>
        <v>17.86</v>
      </c>
      <c r="C740" s="1">
        <f>IFERROR(__xludf.DUMMYFUNCTION("""COMPUTED_VALUE"""),17.86)</f>
        <v>17.86</v>
      </c>
      <c r="D740" s="1">
        <f>IFERROR(__xludf.DUMMYFUNCTION("""COMPUTED_VALUE"""),17.65)</f>
        <v>17.65</v>
      </c>
      <c r="E740" s="1">
        <f>IFERROR(__xludf.DUMMYFUNCTION("""COMPUTED_VALUE"""),17.74)</f>
        <v>17.74</v>
      </c>
      <c r="F740" s="1">
        <f>IFERROR(__xludf.DUMMYFUNCTION("""COMPUTED_VALUE"""),87513.0)</f>
        <v>87513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IFERROR(__xludf.DUMMYFUNCTION("""COMPUTED_VALUE"""),17.78)</f>
        <v>17.78</v>
      </c>
      <c r="C741" s="1">
        <f>IFERROR(__xludf.DUMMYFUNCTION("""COMPUTED_VALUE"""),17.91)</f>
        <v>17.91</v>
      </c>
      <c r="D741" s="1">
        <f>IFERROR(__xludf.DUMMYFUNCTION("""COMPUTED_VALUE"""),17.6)</f>
        <v>17.6</v>
      </c>
      <c r="E741" s="1">
        <f>IFERROR(__xludf.DUMMYFUNCTION("""COMPUTED_VALUE"""),17.79)</f>
        <v>17.79</v>
      </c>
      <c r="F741" s="1">
        <f>IFERROR(__xludf.DUMMYFUNCTION("""COMPUTED_VALUE"""),213742.0)</f>
        <v>213742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IFERROR(__xludf.DUMMYFUNCTION("""COMPUTED_VALUE"""),17.98)</f>
        <v>17.98</v>
      </c>
      <c r="C742" s="1">
        <f>IFERROR(__xludf.DUMMYFUNCTION("""COMPUTED_VALUE"""),18.18)</f>
        <v>18.18</v>
      </c>
      <c r="D742" s="1">
        <f>IFERROR(__xludf.DUMMYFUNCTION("""COMPUTED_VALUE"""),17.62)</f>
        <v>17.62</v>
      </c>
      <c r="E742" s="1">
        <f>IFERROR(__xludf.DUMMYFUNCTION("""COMPUTED_VALUE"""),18.06)</f>
        <v>18.06</v>
      </c>
      <c r="F742" s="1">
        <f>IFERROR(__xludf.DUMMYFUNCTION("""COMPUTED_VALUE"""),549222.0)</f>
        <v>549222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IFERROR(__xludf.DUMMYFUNCTION("""COMPUTED_VALUE"""),18.1)</f>
        <v>18.1</v>
      </c>
      <c r="C743" s="1">
        <f>IFERROR(__xludf.DUMMYFUNCTION("""COMPUTED_VALUE"""),18.4)</f>
        <v>18.4</v>
      </c>
      <c r="D743" s="1">
        <f>IFERROR(__xludf.DUMMYFUNCTION("""COMPUTED_VALUE"""),17.96)</f>
        <v>17.96</v>
      </c>
      <c r="E743" s="1">
        <f>IFERROR(__xludf.DUMMYFUNCTION("""COMPUTED_VALUE"""),18.06)</f>
        <v>18.06</v>
      </c>
      <c r="F743" s="1">
        <f>IFERROR(__xludf.DUMMYFUNCTION("""COMPUTED_VALUE"""),672240.0)</f>
        <v>672240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IFERROR(__xludf.DUMMYFUNCTION("""COMPUTED_VALUE"""),18.07)</f>
        <v>18.07</v>
      </c>
      <c r="C744" s="1">
        <f>IFERROR(__xludf.DUMMYFUNCTION("""COMPUTED_VALUE"""),18.22)</f>
        <v>18.22</v>
      </c>
      <c r="D744" s="1">
        <f>IFERROR(__xludf.DUMMYFUNCTION("""COMPUTED_VALUE"""),17.8)</f>
        <v>17.8</v>
      </c>
      <c r="E744" s="1">
        <f>IFERROR(__xludf.DUMMYFUNCTION("""COMPUTED_VALUE"""),17.82)</f>
        <v>17.82</v>
      </c>
      <c r="F744" s="1">
        <f>IFERROR(__xludf.DUMMYFUNCTION("""COMPUTED_VALUE"""),248213.0)</f>
        <v>248213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IFERROR(__xludf.DUMMYFUNCTION("""COMPUTED_VALUE"""),17.82)</f>
        <v>17.82</v>
      </c>
      <c r="C745" s="1">
        <f>IFERROR(__xludf.DUMMYFUNCTION("""COMPUTED_VALUE"""),18.16)</f>
        <v>18.16</v>
      </c>
      <c r="D745" s="1">
        <f>IFERROR(__xludf.DUMMYFUNCTION("""COMPUTED_VALUE"""),17.77)</f>
        <v>17.77</v>
      </c>
      <c r="E745" s="1">
        <f>IFERROR(__xludf.DUMMYFUNCTION("""COMPUTED_VALUE"""),17.88)</f>
        <v>17.88</v>
      </c>
      <c r="F745" s="1">
        <f>IFERROR(__xludf.DUMMYFUNCTION("""COMPUTED_VALUE"""),384625.0)</f>
        <v>384625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IFERROR(__xludf.DUMMYFUNCTION("""COMPUTED_VALUE"""),17.99)</f>
        <v>17.99</v>
      </c>
      <c r="C746" s="1">
        <f>IFERROR(__xludf.DUMMYFUNCTION("""COMPUTED_VALUE"""),18.5)</f>
        <v>18.5</v>
      </c>
      <c r="D746" s="1">
        <f>IFERROR(__xludf.DUMMYFUNCTION("""COMPUTED_VALUE"""),17.92)</f>
        <v>17.92</v>
      </c>
      <c r="E746" s="1">
        <f>IFERROR(__xludf.DUMMYFUNCTION("""COMPUTED_VALUE"""),18.4)</f>
        <v>18.4</v>
      </c>
      <c r="F746" s="1">
        <f>IFERROR(__xludf.DUMMYFUNCTION("""COMPUTED_VALUE"""),508490.0)</f>
        <v>508490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IFERROR(__xludf.DUMMYFUNCTION("""COMPUTED_VALUE"""),18.39)</f>
        <v>18.39</v>
      </c>
      <c r="C747" s="1">
        <f>IFERROR(__xludf.DUMMYFUNCTION("""COMPUTED_VALUE"""),18.79)</f>
        <v>18.79</v>
      </c>
      <c r="D747" s="1">
        <f>IFERROR(__xludf.DUMMYFUNCTION("""COMPUTED_VALUE"""),18.34)</f>
        <v>18.34</v>
      </c>
      <c r="E747" s="1">
        <f>IFERROR(__xludf.DUMMYFUNCTION("""COMPUTED_VALUE"""),18.66)</f>
        <v>18.66</v>
      </c>
      <c r="F747" s="1">
        <f>IFERROR(__xludf.DUMMYFUNCTION("""COMPUTED_VALUE"""),464724.0)</f>
        <v>464724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IFERROR(__xludf.DUMMYFUNCTION("""COMPUTED_VALUE"""),18.65)</f>
        <v>18.65</v>
      </c>
      <c r="C748" s="1">
        <f>IFERROR(__xludf.DUMMYFUNCTION("""COMPUTED_VALUE"""),18.88)</f>
        <v>18.88</v>
      </c>
      <c r="D748" s="1">
        <f>IFERROR(__xludf.DUMMYFUNCTION("""COMPUTED_VALUE"""),18.53)</f>
        <v>18.53</v>
      </c>
      <c r="E748" s="1">
        <f>IFERROR(__xludf.DUMMYFUNCTION("""COMPUTED_VALUE"""),18.86)</f>
        <v>18.86</v>
      </c>
      <c r="F748" s="1">
        <f>IFERROR(__xludf.DUMMYFUNCTION("""COMPUTED_VALUE"""),367105.0)</f>
        <v>367105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IFERROR(__xludf.DUMMYFUNCTION("""COMPUTED_VALUE"""),18.82)</f>
        <v>18.82</v>
      </c>
      <c r="C749" s="1">
        <f>IFERROR(__xludf.DUMMYFUNCTION("""COMPUTED_VALUE"""),19.17)</f>
        <v>19.17</v>
      </c>
      <c r="D749" s="1">
        <f>IFERROR(__xludf.DUMMYFUNCTION("""COMPUTED_VALUE"""),18.75)</f>
        <v>18.75</v>
      </c>
      <c r="E749" s="1">
        <f>IFERROR(__xludf.DUMMYFUNCTION("""COMPUTED_VALUE"""),19.11)</f>
        <v>19.11</v>
      </c>
      <c r="F749" s="1">
        <f>IFERROR(__xludf.DUMMYFUNCTION("""COMPUTED_VALUE"""),429185.0)</f>
        <v>429185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IFERROR(__xludf.DUMMYFUNCTION("""COMPUTED_VALUE"""),18.86)</f>
        <v>18.86</v>
      </c>
      <c r="C750" s="1">
        <f>IFERROR(__xludf.DUMMYFUNCTION("""COMPUTED_VALUE"""),19.82)</f>
        <v>19.82</v>
      </c>
      <c r="D750" s="1">
        <f>IFERROR(__xludf.DUMMYFUNCTION("""COMPUTED_VALUE"""),18.58)</f>
        <v>18.58</v>
      </c>
      <c r="E750" s="1">
        <f>IFERROR(__xludf.DUMMYFUNCTION("""COMPUTED_VALUE"""),19.82)</f>
        <v>19.82</v>
      </c>
      <c r="F750" s="1">
        <f>IFERROR(__xludf.DUMMYFUNCTION("""COMPUTED_VALUE"""),3264906.0)</f>
        <v>3264906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IFERROR(__xludf.DUMMYFUNCTION("""COMPUTED_VALUE"""),19.88)</f>
        <v>19.88</v>
      </c>
      <c r="C751" s="1">
        <f>IFERROR(__xludf.DUMMYFUNCTION("""COMPUTED_VALUE"""),19.98)</f>
        <v>19.98</v>
      </c>
      <c r="D751" s="1">
        <f>IFERROR(__xludf.DUMMYFUNCTION("""COMPUTED_VALUE"""),19.37)</f>
        <v>19.37</v>
      </c>
      <c r="E751" s="1">
        <f>IFERROR(__xludf.DUMMYFUNCTION("""COMPUTED_VALUE"""),19.41)</f>
        <v>19.41</v>
      </c>
      <c r="F751" s="1">
        <f>IFERROR(__xludf.DUMMYFUNCTION("""COMPUTED_VALUE"""),301979.0)</f>
        <v>301979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IFERROR(__xludf.DUMMYFUNCTION("""COMPUTED_VALUE"""),19.51)</f>
        <v>19.51</v>
      </c>
      <c r="C752" s="1">
        <f>IFERROR(__xludf.DUMMYFUNCTION("""COMPUTED_VALUE"""),19.57)</f>
        <v>19.57</v>
      </c>
      <c r="D752" s="1">
        <f>IFERROR(__xludf.DUMMYFUNCTION("""COMPUTED_VALUE"""),19.25)</f>
        <v>19.25</v>
      </c>
      <c r="E752" s="1">
        <f>IFERROR(__xludf.DUMMYFUNCTION("""COMPUTED_VALUE"""),19.29)</f>
        <v>19.29</v>
      </c>
      <c r="F752" s="1">
        <f>IFERROR(__xludf.DUMMYFUNCTION("""COMPUTED_VALUE"""),309991.0)</f>
        <v>309991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IFERROR(__xludf.DUMMYFUNCTION("""COMPUTED_VALUE"""),19.27)</f>
        <v>19.27</v>
      </c>
      <c r="C753" s="1">
        <f>IFERROR(__xludf.DUMMYFUNCTION("""COMPUTED_VALUE"""),19.48)</f>
        <v>19.48</v>
      </c>
      <c r="D753" s="1">
        <f>IFERROR(__xludf.DUMMYFUNCTION("""COMPUTED_VALUE"""),18.82)</f>
        <v>18.82</v>
      </c>
      <c r="E753" s="1">
        <f>IFERROR(__xludf.DUMMYFUNCTION("""COMPUTED_VALUE"""),19.16)</f>
        <v>19.16</v>
      </c>
      <c r="F753" s="1">
        <f>IFERROR(__xludf.DUMMYFUNCTION("""COMPUTED_VALUE"""),372426.0)</f>
        <v>372426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IFERROR(__xludf.DUMMYFUNCTION("""COMPUTED_VALUE"""),19.05)</f>
        <v>19.05</v>
      </c>
      <c r="C754" s="1">
        <f>IFERROR(__xludf.DUMMYFUNCTION("""COMPUTED_VALUE"""),19.31)</f>
        <v>19.31</v>
      </c>
      <c r="D754" s="1">
        <f>IFERROR(__xludf.DUMMYFUNCTION("""COMPUTED_VALUE"""),18.93)</f>
        <v>18.93</v>
      </c>
      <c r="E754" s="1">
        <f>IFERROR(__xludf.DUMMYFUNCTION("""COMPUTED_VALUE"""),19.12)</f>
        <v>19.12</v>
      </c>
      <c r="F754" s="1">
        <f>IFERROR(__xludf.DUMMYFUNCTION("""COMPUTED_VALUE"""),258532.0)</f>
        <v>258532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IFERROR(__xludf.DUMMYFUNCTION("""COMPUTED_VALUE"""),19.13)</f>
        <v>19.13</v>
      </c>
      <c r="C755" s="1">
        <f>IFERROR(__xludf.DUMMYFUNCTION("""COMPUTED_VALUE"""),19.55)</f>
        <v>19.55</v>
      </c>
      <c r="D755" s="1">
        <f>IFERROR(__xludf.DUMMYFUNCTION("""COMPUTED_VALUE"""),19.06)</f>
        <v>19.06</v>
      </c>
      <c r="E755" s="1">
        <f>IFERROR(__xludf.DUMMYFUNCTION("""COMPUTED_VALUE"""),19.53)</f>
        <v>19.53</v>
      </c>
      <c r="F755" s="1">
        <f>IFERROR(__xludf.DUMMYFUNCTION("""COMPUTED_VALUE"""),373133.0)</f>
        <v>373133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IFERROR(__xludf.DUMMYFUNCTION("""COMPUTED_VALUE"""),20.0)</f>
        <v>20</v>
      </c>
      <c r="C756" s="1">
        <f>IFERROR(__xludf.DUMMYFUNCTION("""COMPUTED_VALUE"""),20.1)</f>
        <v>20.1</v>
      </c>
      <c r="D756" s="1">
        <f>IFERROR(__xludf.DUMMYFUNCTION("""COMPUTED_VALUE"""),19.74)</f>
        <v>19.74</v>
      </c>
      <c r="E756" s="1">
        <f>IFERROR(__xludf.DUMMYFUNCTION("""COMPUTED_VALUE"""),19.98)</f>
        <v>19.98</v>
      </c>
      <c r="F756" s="1">
        <f>IFERROR(__xludf.DUMMYFUNCTION("""COMPUTED_VALUE"""),685169.0)</f>
        <v>685169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IFERROR(__xludf.DUMMYFUNCTION("""COMPUTED_VALUE"""),19.4)</f>
        <v>19.4</v>
      </c>
      <c r="C757" s="1">
        <f>IFERROR(__xludf.DUMMYFUNCTION("""COMPUTED_VALUE"""),19.7)</f>
        <v>19.7</v>
      </c>
      <c r="D757" s="1">
        <f>IFERROR(__xludf.DUMMYFUNCTION("""COMPUTED_VALUE"""),19.35)</f>
        <v>19.35</v>
      </c>
      <c r="E757" s="1">
        <f>IFERROR(__xludf.DUMMYFUNCTION("""COMPUTED_VALUE"""),19.55)</f>
        <v>19.55</v>
      </c>
      <c r="F757" s="1">
        <f>IFERROR(__xludf.DUMMYFUNCTION("""COMPUTED_VALUE"""),682112.0)</f>
        <v>682112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IFERROR(__xludf.DUMMYFUNCTION("""COMPUTED_VALUE"""),19.67)</f>
        <v>19.67</v>
      </c>
      <c r="C758" s="1">
        <f>IFERROR(__xludf.DUMMYFUNCTION("""COMPUTED_VALUE"""),19.9)</f>
        <v>19.9</v>
      </c>
      <c r="D758" s="1">
        <f>IFERROR(__xludf.DUMMYFUNCTION("""COMPUTED_VALUE"""),19.58)</f>
        <v>19.58</v>
      </c>
      <c r="E758" s="1">
        <f>IFERROR(__xludf.DUMMYFUNCTION("""COMPUTED_VALUE"""),19.75)</f>
        <v>19.75</v>
      </c>
      <c r="F758" s="1">
        <f>IFERROR(__xludf.DUMMYFUNCTION("""COMPUTED_VALUE"""),442044.0)</f>
        <v>442044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IFERROR(__xludf.DUMMYFUNCTION("""COMPUTED_VALUE"""),19.55)</f>
        <v>19.55</v>
      </c>
      <c r="C759" s="1">
        <f>IFERROR(__xludf.DUMMYFUNCTION("""COMPUTED_VALUE"""),19.84)</f>
        <v>19.84</v>
      </c>
      <c r="D759" s="1">
        <f>IFERROR(__xludf.DUMMYFUNCTION("""COMPUTED_VALUE"""),19.45)</f>
        <v>19.45</v>
      </c>
      <c r="E759" s="1">
        <f>IFERROR(__xludf.DUMMYFUNCTION("""COMPUTED_VALUE"""),19.72)</f>
        <v>19.72</v>
      </c>
      <c r="F759" s="1">
        <f>IFERROR(__xludf.DUMMYFUNCTION("""COMPUTED_VALUE"""),210309.0)</f>
        <v>210309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IFERROR(__xludf.DUMMYFUNCTION("""COMPUTED_VALUE"""),19.64)</f>
        <v>19.64</v>
      </c>
      <c r="C760" s="1">
        <f>IFERROR(__xludf.DUMMYFUNCTION("""COMPUTED_VALUE"""),19.73)</f>
        <v>19.73</v>
      </c>
      <c r="D760" s="1">
        <f>IFERROR(__xludf.DUMMYFUNCTION("""COMPUTED_VALUE"""),19.44)</f>
        <v>19.44</v>
      </c>
      <c r="E760" s="1">
        <f>IFERROR(__xludf.DUMMYFUNCTION("""COMPUTED_VALUE"""),19.53)</f>
        <v>19.53</v>
      </c>
      <c r="F760" s="1">
        <f>IFERROR(__xludf.DUMMYFUNCTION("""COMPUTED_VALUE"""),265430.0)</f>
        <v>265430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IFERROR(__xludf.DUMMYFUNCTION("""COMPUTED_VALUE"""),19.64)</f>
        <v>19.64</v>
      </c>
      <c r="C761" s="1">
        <f>IFERROR(__xludf.DUMMYFUNCTION("""COMPUTED_VALUE"""),19.97)</f>
        <v>19.97</v>
      </c>
      <c r="D761" s="1">
        <f>IFERROR(__xludf.DUMMYFUNCTION("""COMPUTED_VALUE"""),19.6)</f>
        <v>19.6</v>
      </c>
      <c r="E761" s="1">
        <f>IFERROR(__xludf.DUMMYFUNCTION("""COMPUTED_VALUE"""),19.78)</f>
        <v>19.78</v>
      </c>
      <c r="F761" s="1">
        <f>IFERROR(__xludf.DUMMYFUNCTION("""COMPUTED_VALUE"""),263923.0)</f>
        <v>263923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IFERROR(__xludf.DUMMYFUNCTION("""COMPUTED_VALUE"""),19.9)</f>
        <v>19.9</v>
      </c>
      <c r="C762" s="1">
        <f>IFERROR(__xludf.DUMMYFUNCTION("""COMPUTED_VALUE"""),19.94)</f>
        <v>19.94</v>
      </c>
      <c r="D762" s="1">
        <f>IFERROR(__xludf.DUMMYFUNCTION("""COMPUTED_VALUE"""),19.66)</f>
        <v>19.66</v>
      </c>
      <c r="E762" s="1">
        <f>IFERROR(__xludf.DUMMYFUNCTION("""COMPUTED_VALUE"""),19.81)</f>
        <v>19.81</v>
      </c>
      <c r="F762" s="1">
        <f>IFERROR(__xludf.DUMMYFUNCTION("""COMPUTED_VALUE"""),177255.0)</f>
        <v>177255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IFERROR(__xludf.DUMMYFUNCTION("""COMPUTED_VALUE"""),19.44)</f>
        <v>19.44</v>
      </c>
      <c r="C763" s="1">
        <f>IFERROR(__xludf.DUMMYFUNCTION("""COMPUTED_VALUE"""),19.55)</f>
        <v>19.55</v>
      </c>
      <c r="D763" s="1">
        <f>IFERROR(__xludf.DUMMYFUNCTION("""COMPUTED_VALUE"""),19.16)</f>
        <v>19.16</v>
      </c>
      <c r="E763" s="1">
        <f>IFERROR(__xludf.DUMMYFUNCTION("""COMPUTED_VALUE"""),19.24)</f>
        <v>19.24</v>
      </c>
      <c r="F763" s="1">
        <f>IFERROR(__xludf.DUMMYFUNCTION("""COMPUTED_VALUE"""),322054.0)</f>
        <v>322054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IFERROR(__xludf.DUMMYFUNCTION("""COMPUTED_VALUE"""),19.22)</f>
        <v>19.22</v>
      </c>
      <c r="C764" s="1">
        <f>IFERROR(__xludf.DUMMYFUNCTION("""COMPUTED_VALUE"""),19.32)</f>
        <v>19.32</v>
      </c>
      <c r="D764" s="1">
        <f>IFERROR(__xludf.DUMMYFUNCTION("""COMPUTED_VALUE"""),18.95)</f>
        <v>18.95</v>
      </c>
      <c r="E764" s="1">
        <f>IFERROR(__xludf.DUMMYFUNCTION("""COMPUTED_VALUE"""),19.18)</f>
        <v>19.18</v>
      </c>
      <c r="F764" s="1">
        <f>IFERROR(__xludf.DUMMYFUNCTION("""COMPUTED_VALUE"""),476600.0)</f>
        <v>476600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IFERROR(__xludf.DUMMYFUNCTION("""COMPUTED_VALUE"""),19.09)</f>
        <v>19.09</v>
      </c>
      <c r="C765" s="1">
        <f>IFERROR(__xludf.DUMMYFUNCTION("""COMPUTED_VALUE"""),19.6)</f>
        <v>19.6</v>
      </c>
      <c r="D765" s="1">
        <f>IFERROR(__xludf.DUMMYFUNCTION("""COMPUTED_VALUE"""),19.02)</f>
        <v>19.02</v>
      </c>
      <c r="E765" s="1">
        <f>IFERROR(__xludf.DUMMYFUNCTION("""COMPUTED_VALUE"""),19.56)</f>
        <v>19.56</v>
      </c>
      <c r="F765" s="1">
        <f>IFERROR(__xludf.DUMMYFUNCTION("""COMPUTED_VALUE"""),264693.0)</f>
        <v>264693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IFERROR(__xludf.DUMMYFUNCTION("""COMPUTED_VALUE"""),19.5)</f>
        <v>19.5</v>
      </c>
      <c r="C766" s="1">
        <f>IFERROR(__xludf.DUMMYFUNCTION("""COMPUTED_VALUE"""),19.71)</f>
        <v>19.71</v>
      </c>
      <c r="D766" s="1">
        <f>IFERROR(__xludf.DUMMYFUNCTION("""COMPUTED_VALUE"""),19.44)</f>
        <v>19.44</v>
      </c>
      <c r="E766" s="1">
        <f>IFERROR(__xludf.DUMMYFUNCTION("""COMPUTED_VALUE"""),19.63)</f>
        <v>19.63</v>
      </c>
      <c r="F766" s="1">
        <f>IFERROR(__xludf.DUMMYFUNCTION("""COMPUTED_VALUE"""),225475.0)</f>
        <v>225475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IFERROR(__xludf.DUMMYFUNCTION("""COMPUTED_VALUE"""),19.68)</f>
        <v>19.68</v>
      </c>
      <c r="C767" s="1">
        <f>IFERROR(__xludf.DUMMYFUNCTION("""COMPUTED_VALUE"""),19.9)</f>
        <v>19.9</v>
      </c>
      <c r="D767" s="1">
        <f>IFERROR(__xludf.DUMMYFUNCTION("""COMPUTED_VALUE"""),19.53)</f>
        <v>19.53</v>
      </c>
      <c r="E767" s="1">
        <f>IFERROR(__xludf.DUMMYFUNCTION("""COMPUTED_VALUE"""),19.77)</f>
        <v>19.77</v>
      </c>
      <c r="F767" s="1">
        <f>IFERROR(__xludf.DUMMYFUNCTION("""COMPUTED_VALUE"""),279148.0)</f>
        <v>279148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IFERROR(__xludf.DUMMYFUNCTION("""COMPUTED_VALUE"""),19.73)</f>
        <v>19.73</v>
      </c>
      <c r="C768" s="1">
        <f>IFERROR(__xludf.DUMMYFUNCTION("""COMPUTED_VALUE"""),19.85)</f>
        <v>19.85</v>
      </c>
      <c r="D768" s="1">
        <f>IFERROR(__xludf.DUMMYFUNCTION("""COMPUTED_VALUE"""),19.49)</f>
        <v>19.49</v>
      </c>
      <c r="E768" s="1">
        <f>IFERROR(__xludf.DUMMYFUNCTION("""COMPUTED_VALUE"""),19.59)</f>
        <v>19.59</v>
      </c>
      <c r="F768" s="1">
        <f>IFERROR(__xludf.DUMMYFUNCTION("""COMPUTED_VALUE"""),477385.0)</f>
        <v>477385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IFERROR(__xludf.DUMMYFUNCTION("""COMPUTED_VALUE"""),19.63)</f>
        <v>19.63</v>
      </c>
      <c r="C769" s="1">
        <f>IFERROR(__xludf.DUMMYFUNCTION("""COMPUTED_VALUE"""),19.97)</f>
        <v>19.97</v>
      </c>
      <c r="D769" s="1">
        <f>IFERROR(__xludf.DUMMYFUNCTION("""COMPUTED_VALUE"""),19.62)</f>
        <v>19.62</v>
      </c>
      <c r="E769" s="1">
        <f>IFERROR(__xludf.DUMMYFUNCTION("""COMPUTED_VALUE"""),19.97)</f>
        <v>19.97</v>
      </c>
      <c r="F769" s="1">
        <f>IFERROR(__xludf.DUMMYFUNCTION("""COMPUTED_VALUE"""),477584.0)</f>
        <v>477584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IFERROR(__xludf.DUMMYFUNCTION("""COMPUTED_VALUE"""),19.96)</f>
        <v>19.96</v>
      </c>
      <c r="C770" s="1">
        <f>IFERROR(__xludf.DUMMYFUNCTION("""COMPUTED_VALUE"""),19.98)</f>
        <v>19.98</v>
      </c>
      <c r="D770" s="1">
        <f>IFERROR(__xludf.DUMMYFUNCTION("""COMPUTED_VALUE"""),19.74)</f>
        <v>19.74</v>
      </c>
      <c r="E770" s="1">
        <f>IFERROR(__xludf.DUMMYFUNCTION("""COMPUTED_VALUE"""),19.78)</f>
        <v>19.78</v>
      </c>
      <c r="F770" s="1">
        <f>IFERROR(__xludf.DUMMYFUNCTION("""COMPUTED_VALUE"""),219806.0)</f>
        <v>219806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IFERROR(__xludf.DUMMYFUNCTION("""COMPUTED_VALUE"""),19.63)</f>
        <v>19.63</v>
      </c>
      <c r="C771" s="1">
        <f>IFERROR(__xludf.DUMMYFUNCTION("""COMPUTED_VALUE"""),19.72)</f>
        <v>19.72</v>
      </c>
      <c r="D771" s="1">
        <f>IFERROR(__xludf.DUMMYFUNCTION("""COMPUTED_VALUE"""),18.8)</f>
        <v>18.8</v>
      </c>
      <c r="E771" s="1">
        <f>IFERROR(__xludf.DUMMYFUNCTION("""COMPUTED_VALUE"""),19.06)</f>
        <v>19.06</v>
      </c>
      <c r="F771" s="1">
        <f>IFERROR(__xludf.DUMMYFUNCTION("""COMPUTED_VALUE"""),789160.0)</f>
        <v>789160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IFERROR(__xludf.DUMMYFUNCTION("""COMPUTED_VALUE"""),19.19)</f>
        <v>19.19</v>
      </c>
      <c r="C772" s="1">
        <f>IFERROR(__xludf.DUMMYFUNCTION("""COMPUTED_VALUE"""),19.31)</f>
        <v>19.31</v>
      </c>
      <c r="D772" s="1">
        <f>IFERROR(__xludf.DUMMYFUNCTION("""COMPUTED_VALUE"""),19.03)</f>
        <v>19.03</v>
      </c>
      <c r="E772" s="1">
        <f>IFERROR(__xludf.DUMMYFUNCTION("""COMPUTED_VALUE"""),19.26)</f>
        <v>19.26</v>
      </c>
      <c r="F772" s="1">
        <f>IFERROR(__xludf.DUMMYFUNCTION("""COMPUTED_VALUE"""),412192.0)</f>
        <v>412192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IFERROR(__xludf.DUMMYFUNCTION("""COMPUTED_VALUE"""),19.26)</f>
        <v>19.26</v>
      </c>
      <c r="C773" s="1">
        <f>IFERROR(__xludf.DUMMYFUNCTION("""COMPUTED_VALUE"""),19.55)</f>
        <v>19.55</v>
      </c>
      <c r="D773" s="1">
        <f>IFERROR(__xludf.DUMMYFUNCTION("""COMPUTED_VALUE"""),19.07)</f>
        <v>19.07</v>
      </c>
      <c r="E773" s="1">
        <f>IFERROR(__xludf.DUMMYFUNCTION("""COMPUTED_VALUE"""),19.48)</f>
        <v>19.48</v>
      </c>
      <c r="F773" s="1">
        <f>IFERROR(__xludf.DUMMYFUNCTION("""COMPUTED_VALUE"""),253746.0)</f>
        <v>253746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IFERROR(__xludf.DUMMYFUNCTION("""COMPUTED_VALUE"""),19.41)</f>
        <v>19.41</v>
      </c>
      <c r="C774" s="1">
        <f>IFERROR(__xludf.DUMMYFUNCTION("""COMPUTED_VALUE"""),19.58)</f>
        <v>19.58</v>
      </c>
      <c r="D774" s="1">
        <f>IFERROR(__xludf.DUMMYFUNCTION("""COMPUTED_VALUE"""),19.3)</f>
        <v>19.3</v>
      </c>
      <c r="E774" s="1">
        <f>IFERROR(__xludf.DUMMYFUNCTION("""COMPUTED_VALUE"""),19.5)</f>
        <v>19.5</v>
      </c>
      <c r="F774" s="1">
        <f>IFERROR(__xludf.DUMMYFUNCTION("""COMPUTED_VALUE"""),270979.0)</f>
        <v>270979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IFERROR(__xludf.DUMMYFUNCTION("""COMPUTED_VALUE"""),19.42)</f>
        <v>19.42</v>
      </c>
      <c r="C775" s="1">
        <f>IFERROR(__xludf.DUMMYFUNCTION("""COMPUTED_VALUE"""),19.58)</f>
        <v>19.58</v>
      </c>
      <c r="D775" s="1">
        <f>IFERROR(__xludf.DUMMYFUNCTION("""COMPUTED_VALUE"""),19.38)</f>
        <v>19.38</v>
      </c>
      <c r="E775" s="1">
        <f>IFERROR(__xludf.DUMMYFUNCTION("""COMPUTED_VALUE"""),19.46)</f>
        <v>19.46</v>
      </c>
      <c r="F775" s="1">
        <f>IFERROR(__xludf.DUMMYFUNCTION("""COMPUTED_VALUE"""),277711.0)</f>
        <v>277711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IFERROR(__xludf.DUMMYFUNCTION("""COMPUTED_VALUE"""),19.45)</f>
        <v>19.45</v>
      </c>
      <c r="C776" s="1">
        <f>IFERROR(__xludf.DUMMYFUNCTION("""COMPUTED_VALUE"""),19.65)</f>
        <v>19.65</v>
      </c>
      <c r="D776" s="1">
        <f>IFERROR(__xludf.DUMMYFUNCTION("""COMPUTED_VALUE"""),19.37)</f>
        <v>19.37</v>
      </c>
      <c r="E776" s="1">
        <f>IFERROR(__xludf.DUMMYFUNCTION("""COMPUTED_VALUE"""),19.41)</f>
        <v>19.41</v>
      </c>
      <c r="F776" s="1">
        <f>IFERROR(__xludf.DUMMYFUNCTION("""COMPUTED_VALUE"""),283579.0)</f>
        <v>283579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IFERROR(__xludf.DUMMYFUNCTION("""COMPUTED_VALUE"""),19.57)</f>
        <v>19.57</v>
      </c>
      <c r="C777" s="1">
        <f>IFERROR(__xludf.DUMMYFUNCTION("""COMPUTED_VALUE"""),19.8)</f>
        <v>19.8</v>
      </c>
      <c r="D777" s="1">
        <f>IFERROR(__xludf.DUMMYFUNCTION("""COMPUTED_VALUE"""),19.45)</f>
        <v>19.45</v>
      </c>
      <c r="E777" s="1">
        <f>IFERROR(__xludf.DUMMYFUNCTION("""COMPUTED_VALUE"""),19.69)</f>
        <v>19.69</v>
      </c>
      <c r="F777" s="1">
        <f>IFERROR(__xludf.DUMMYFUNCTION("""COMPUTED_VALUE"""),287097.0)</f>
        <v>287097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IFERROR(__xludf.DUMMYFUNCTION("""COMPUTED_VALUE"""),19.52)</f>
        <v>19.52</v>
      </c>
      <c r="C778" s="1">
        <f>IFERROR(__xludf.DUMMYFUNCTION("""COMPUTED_VALUE"""),19.62)</f>
        <v>19.62</v>
      </c>
      <c r="D778" s="1">
        <f>IFERROR(__xludf.DUMMYFUNCTION("""COMPUTED_VALUE"""),19.25)</f>
        <v>19.25</v>
      </c>
      <c r="E778" s="1">
        <f>IFERROR(__xludf.DUMMYFUNCTION("""COMPUTED_VALUE"""),19.46)</f>
        <v>19.46</v>
      </c>
      <c r="F778" s="1">
        <f>IFERROR(__xludf.DUMMYFUNCTION("""COMPUTED_VALUE"""),226162.0)</f>
        <v>226162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IFERROR(__xludf.DUMMYFUNCTION("""COMPUTED_VALUE"""),19.56)</f>
        <v>19.56</v>
      </c>
      <c r="C779" s="1">
        <f>IFERROR(__xludf.DUMMYFUNCTION("""COMPUTED_VALUE"""),19.85)</f>
        <v>19.85</v>
      </c>
      <c r="D779" s="1">
        <f>IFERROR(__xludf.DUMMYFUNCTION("""COMPUTED_VALUE"""),19.5)</f>
        <v>19.5</v>
      </c>
      <c r="E779" s="1">
        <f>IFERROR(__xludf.DUMMYFUNCTION("""COMPUTED_VALUE"""),19.67)</f>
        <v>19.67</v>
      </c>
      <c r="F779" s="1">
        <f>IFERROR(__xludf.DUMMYFUNCTION("""COMPUTED_VALUE"""),358697.0)</f>
        <v>358697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IFERROR(__xludf.DUMMYFUNCTION("""COMPUTED_VALUE"""),19.56)</f>
        <v>19.56</v>
      </c>
      <c r="C780" s="1">
        <f>IFERROR(__xludf.DUMMYFUNCTION("""COMPUTED_VALUE"""),19.71)</f>
        <v>19.71</v>
      </c>
      <c r="D780" s="1">
        <f>IFERROR(__xludf.DUMMYFUNCTION("""COMPUTED_VALUE"""),19.53)</f>
        <v>19.53</v>
      </c>
      <c r="E780" s="1">
        <f>IFERROR(__xludf.DUMMYFUNCTION("""COMPUTED_VALUE"""),19.65)</f>
        <v>19.65</v>
      </c>
      <c r="F780" s="1">
        <f>IFERROR(__xludf.DUMMYFUNCTION("""COMPUTED_VALUE"""),191642.0)</f>
        <v>191642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IFERROR(__xludf.DUMMYFUNCTION("""COMPUTED_VALUE"""),19.65)</f>
        <v>19.65</v>
      </c>
      <c r="C781" s="1">
        <f>IFERROR(__xludf.DUMMYFUNCTION("""COMPUTED_VALUE"""),19.79)</f>
        <v>19.79</v>
      </c>
      <c r="D781" s="1">
        <f>IFERROR(__xludf.DUMMYFUNCTION("""COMPUTED_VALUE"""),19.47)</f>
        <v>19.47</v>
      </c>
      <c r="E781" s="1">
        <f>IFERROR(__xludf.DUMMYFUNCTION("""COMPUTED_VALUE"""),19.74)</f>
        <v>19.74</v>
      </c>
      <c r="F781" s="1">
        <f>IFERROR(__xludf.DUMMYFUNCTION("""COMPUTED_VALUE"""),120804.0)</f>
        <v>120804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IFERROR(__xludf.DUMMYFUNCTION("""COMPUTED_VALUE"""),19.74)</f>
        <v>19.74</v>
      </c>
      <c r="C782" s="1">
        <f>IFERROR(__xludf.DUMMYFUNCTION("""COMPUTED_VALUE"""),19.95)</f>
        <v>19.95</v>
      </c>
      <c r="D782" s="1">
        <f>IFERROR(__xludf.DUMMYFUNCTION("""COMPUTED_VALUE"""),19.7)</f>
        <v>19.7</v>
      </c>
      <c r="E782" s="1">
        <f>IFERROR(__xludf.DUMMYFUNCTION("""COMPUTED_VALUE"""),19.85)</f>
        <v>19.85</v>
      </c>
      <c r="F782" s="1">
        <f>IFERROR(__xludf.DUMMYFUNCTION("""COMPUTED_VALUE"""),224914.0)</f>
        <v>224914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IFERROR(__xludf.DUMMYFUNCTION("""COMPUTED_VALUE"""),19.78)</f>
        <v>19.78</v>
      </c>
      <c r="C783" s="1">
        <f>IFERROR(__xludf.DUMMYFUNCTION("""COMPUTED_VALUE"""),19.95)</f>
        <v>19.95</v>
      </c>
      <c r="D783" s="1">
        <f>IFERROR(__xludf.DUMMYFUNCTION("""COMPUTED_VALUE"""),19.66)</f>
        <v>19.66</v>
      </c>
      <c r="E783" s="1">
        <f>IFERROR(__xludf.DUMMYFUNCTION("""COMPUTED_VALUE"""),19.87)</f>
        <v>19.87</v>
      </c>
      <c r="F783" s="1">
        <f>IFERROR(__xludf.DUMMYFUNCTION("""COMPUTED_VALUE"""),204871.0)</f>
        <v>204871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IFERROR(__xludf.DUMMYFUNCTION("""COMPUTED_VALUE"""),19.99)</f>
        <v>19.99</v>
      </c>
      <c r="C784" s="1">
        <f>IFERROR(__xludf.DUMMYFUNCTION("""COMPUTED_VALUE"""),20.13)</f>
        <v>20.13</v>
      </c>
      <c r="D784" s="1">
        <f>IFERROR(__xludf.DUMMYFUNCTION("""COMPUTED_VALUE"""),19.86)</f>
        <v>19.86</v>
      </c>
      <c r="E784" s="1">
        <f>IFERROR(__xludf.DUMMYFUNCTION("""COMPUTED_VALUE"""),20.06)</f>
        <v>20.06</v>
      </c>
      <c r="F784" s="1">
        <f>IFERROR(__xludf.DUMMYFUNCTION("""COMPUTED_VALUE"""),249185.0)</f>
        <v>249185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IFERROR(__xludf.DUMMYFUNCTION("""COMPUTED_VALUE"""),20.12)</f>
        <v>20.12</v>
      </c>
      <c r="C785" s="1">
        <f>IFERROR(__xludf.DUMMYFUNCTION("""COMPUTED_VALUE"""),20.31)</f>
        <v>20.31</v>
      </c>
      <c r="D785" s="1">
        <f>IFERROR(__xludf.DUMMYFUNCTION("""COMPUTED_VALUE"""),19.95)</f>
        <v>19.95</v>
      </c>
      <c r="E785" s="1">
        <f>IFERROR(__xludf.DUMMYFUNCTION("""COMPUTED_VALUE"""),20.29)</f>
        <v>20.29</v>
      </c>
      <c r="F785" s="1">
        <f>IFERROR(__xludf.DUMMYFUNCTION("""COMPUTED_VALUE"""),243970.0)</f>
        <v>243970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IFERROR(__xludf.DUMMYFUNCTION("""COMPUTED_VALUE"""),20.15)</f>
        <v>20.15</v>
      </c>
      <c r="C786" s="1">
        <f>IFERROR(__xludf.DUMMYFUNCTION("""COMPUTED_VALUE"""),20.25)</f>
        <v>20.25</v>
      </c>
      <c r="D786" s="1">
        <f>IFERROR(__xludf.DUMMYFUNCTION("""COMPUTED_VALUE"""),20.09)</f>
        <v>20.09</v>
      </c>
      <c r="E786" s="1">
        <f>IFERROR(__xludf.DUMMYFUNCTION("""COMPUTED_VALUE"""),20.11)</f>
        <v>20.11</v>
      </c>
      <c r="F786" s="1">
        <f>IFERROR(__xludf.DUMMYFUNCTION("""COMPUTED_VALUE"""),126539.0)</f>
        <v>126539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IFERROR(__xludf.DUMMYFUNCTION("""COMPUTED_VALUE"""),20.28)</f>
        <v>20.28</v>
      </c>
      <c r="C787" s="1">
        <f>IFERROR(__xludf.DUMMYFUNCTION("""COMPUTED_VALUE"""),20.29)</f>
        <v>20.29</v>
      </c>
      <c r="D787" s="1">
        <f>IFERROR(__xludf.DUMMYFUNCTION("""COMPUTED_VALUE"""),20.1)</f>
        <v>20.1</v>
      </c>
      <c r="E787" s="1">
        <f>IFERROR(__xludf.DUMMYFUNCTION("""COMPUTED_VALUE"""),20.14)</f>
        <v>20.14</v>
      </c>
      <c r="F787" s="1">
        <f>IFERROR(__xludf.DUMMYFUNCTION("""COMPUTED_VALUE"""),224887.0)</f>
        <v>224887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IFERROR(__xludf.DUMMYFUNCTION("""COMPUTED_VALUE"""),20.14)</f>
        <v>20.14</v>
      </c>
      <c r="C788" s="1">
        <f>IFERROR(__xludf.DUMMYFUNCTION("""COMPUTED_VALUE"""),20.36)</f>
        <v>20.36</v>
      </c>
      <c r="D788" s="1">
        <f>IFERROR(__xludf.DUMMYFUNCTION("""COMPUTED_VALUE"""),20.14)</f>
        <v>20.14</v>
      </c>
      <c r="E788" s="1">
        <f>IFERROR(__xludf.DUMMYFUNCTION("""COMPUTED_VALUE"""),20.32)</f>
        <v>20.32</v>
      </c>
      <c r="F788" s="1">
        <f>IFERROR(__xludf.DUMMYFUNCTION("""COMPUTED_VALUE"""),214434.0)</f>
        <v>214434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IFERROR(__xludf.DUMMYFUNCTION("""COMPUTED_VALUE"""),20.39)</f>
        <v>20.39</v>
      </c>
      <c r="C789" s="1">
        <f>IFERROR(__xludf.DUMMYFUNCTION("""COMPUTED_VALUE"""),20.39)</f>
        <v>20.39</v>
      </c>
      <c r="D789" s="1">
        <f>IFERROR(__xludf.DUMMYFUNCTION("""COMPUTED_VALUE"""),19.72)</f>
        <v>19.72</v>
      </c>
      <c r="E789" s="1">
        <f>IFERROR(__xludf.DUMMYFUNCTION("""COMPUTED_VALUE"""),19.74)</f>
        <v>19.74</v>
      </c>
      <c r="F789" s="1">
        <f>IFERROR(__xludf.DUMMYFUNCTION("""COMPUTED_VALUE"""),328142.0)</f>
        <v>328142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IFERROR(__xludf.DUMMYFUNCTION("""COMPUTED_VALUE"""),19.78)</f>
        <v>19.78</v>
      </c>
      <c r="C790" s="1">
        <f>IFERROR(__xludf.DUMMYFUNCTION("""COMPUTED_VALUE"""),19.87)</f>
        <v>19.87</v>
      </c>
      <c r="D790" s="1">
        <f>IFERROR(__xludf.DUMMYFUNCTION("""COMPUTED_VALUE"""),19.41)</f>
        <v>19.41</v>
      </c>
      <c r="E790" s="1">
        <f>IFERROR(__xludf.DUMMYFUNCTION("""COMPUTED_VALUE"""),19.45)</f>
        <v>19.45</v>
      </c>
      <c r="F790" s="1">
        <f>IFERROR(__xludf.DUMMYFUNCTION("""COMPUTED_VALUE"""),298160.0)</f>
        <v>298160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IFERROR(__xludf.DUMMYFUNCTION("""COMPUTED_VALUE"""),19.61)</f>
        <v>19.61</v>
      </c>
      <c r="C791" s="1">
        <f>IFERROR(__xludf.DUMMYFUNCTION("""COMPUTED_VALUE"""),19.84)</f>
        <v>19.84</v>
      </c>
      <c r="D791" s="1">
        <f>IFERROR(__xludf.DUMMYFUNCTION("""COMPUTED_VALUE"""),19.52)</f>
        <v>19.52</v>
      </c>
      <c r="E791" s="1">
        <f>IFERROR(__xludf.DUMMYFUNCTION("""COMPUTED_VALUE"""),19.79)</f>
        <v>19.79</v>
      </c>
      <c r="F791" s="1">
        <f>IFERROR(__xludf.DUMMYFUNCTION("""COMPUTED_VALUE"""),388058.0)</f>
        <v>388058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IFERROR(__xludf.DUMMYFUNCTION("""COMPUTED_VALUE"""),19.96)</f>
        <v>19.96</v>
      </c>
      <c r="C792" s="1">
        <f>IFERROR(__xludf.DUMMYFUNCTION("""COMPUTED_VALUE"""),19.96)</f>
        <v>19.96</v>
      </c>
      <c r="D792" s="1">
        <f>IFERROR(__xludf.DUMMYFUNCTION("""COMPUTED_VALUE"""),19.22)</f>
        <v>19.22</v>
      </c>
      <c r="E792" s="1">
        <f>IFERROR(__xludf.DUMMYFUNCTION("""COMPUTED_VALUE"""),19.27)</f>
        <v>19.27</v>
      </c>
      <c r="F792" s="1">
        <f>IFERROR(__xludf.DUMMYFUNCTION("""COMPUTED_VALUE"""),381964.0)</f>
        <v>381964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IFERROR(__xludf.DUMMYFUNCTION("""COMPUTED_VALUE"""),19.44)</f>
        <v>19.44</v>
      </c>
      <c r="C793" s="1">
        <f>IFERROR(__xludf.DUMMYFUNCTION("""COMPUTED_VALUE"""),19.61)</f>
        <v>19.61</v>
      </c>
      <c r="D793" s="1">
        <f>IFERROR(__xludf.DUMMYFUNCTION("""COMPUTED_VALUE"""),19.15)</f>
        <v>19.15</v>
      </c>
      <c r="E793" s="1">
        <f>IFERROR(__xludf.DUMMYFUNCTION("""COMPUTED_VALUE"""),19.46)</f>
        <v>19.46</v>
      </c>
      <c r="F793" s="1">
        <f>IFERROR(__xludf.DUMMYFUNCTION("""COMPUTED_VALUE"""),180791.0)</f>
        <v>180791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IFERROR(__xludf.DUMMYFUNCTION("""COMPUTED_VALUE"""),19.48)</f>
        <v>19.48</v>
      </c>
      <c r="C794" s="1">
        <f>IFERROR(__xludf.DUMMYFUNCTION("""COMPUTED_VALUE"""),19.68)</f>
        <v>19.68</v>
      </c>
      <c r="D794" s="1">
        <f>IFERROR(__xludf.DUMMYFUNCTION("""COMPUTED_VALUE"""),19.43)</f>
        <v>19.43</v>
      </c>
      <c r="E794" s="1">
        <f>IFERROR(__xludf.DUMMYFUNCTION("""COMPUTED_VALUE"""),19.56)</f>
        <v>19.56</v>
      </c>
      <c r="F794" s="1">
        <f>IFERROR(__xludf.DUMMYFUNCTION("""COMPUTED_VALUE"""),189537.0)</f>
        <v>189537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IFERROR(__xludf.DUMMYFUNCTION("""COMPUTED_VALUE"""),19.48)</f>
        <v>19.48</v>
      </c>
      <c r="C795" s="1">
        <f>IFERROR(__xludf.DUMMYFUNCTION("""COMPUTED_VALUE"""),19.73)</f>
        <v>19.73</v>
      </c>
      <c r="D795" s="1">
        <f>IFERROR(__xludf.DUMMYFUNCTION("""COMPUTED_VALUE"""),19.45)</f>
        <v>19.45</v>
      </c>
      <c r="E795" s="1">
        <f>IFERROR(__xludf.DUMMYFUNCTION("""COMPUTED_VALUE"""),19.49)</f>
        <v>19.49</v>
      </c>
      <c r="F795" s="1">
        <f>IFERROR(__xludf.DUMMYFUNCTION("""COMPUTED_VALUE"""),233578.0)</f>
        <v>233578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IFERROR(__xludf.DUMMYFUNCTION("""COMPUTED_VALUE"""),19.26)</f>
        <v>19.26</v>
      </c>
      <c r="C796" s="1">
        <f>IFERROR(__xludf.DUMMYFUNCTION("""COMPUTED_VALUE"""),19.59)</f>
        <v>19.59</v>
      </c>
      <c r="D796" s="1">
        <f>IFERROR(__xludf.DUMMYFUNCTION("""COMPUTED_VALUE"""),19.07)</f>
        <v>19.07</v>
      </c>
      <c r="E796" s="1">
        <f>IFERROR(__xludf.DUMMYFUNCTION("""COMPUTED_VALUE"""),19.33)</f>
        <v>19.33</v>
      </c>
      <c r="F796" s="1">
        <f>IFERROR(__xludf.DUMMYFUNCTION("""COMPUTED_VALUE"""),443192.0)</f>
        <v>443192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IFERROR(__xludf.DUMMYFUNCTION("""COMPUTED_VALUE"""),19.29)</f>
        <v>19.29</v>
      </c>
      <c r="C797" s="1">
        <f>IFERROR(__xludf.DUMMYFUNCTION("""COMPUTED_VALUE"""),19.63)</f>
        <v>19.63</v>
      </c>
      <c r="D797" s="1">
        <f>IFERROR(__xludf.DUMMYFUNCTION("""COMPUTED_VALUE"""),19.29)</f>
        <v>19.29</v>
      </c>
      <c r="E797" s="1">
        <f>IFERROR(__xludf.DUMMYFUNCTION("""COMPUTED_VALUE"""),19.61)</f>
        <v>19.61</v>
      </c>
      <c r="F797" s="1">
        <f>IFERROR(__xludf.DUMMYFUNCTION("""COMPUTED_VALUE"""),207702.0)</f>
        <v>207702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IFERROR(__xludf.DUMMYFUNCTION("""COMPUTED_VALUE"""),19.68)</f>
        <v>19.68</v>
      </c>
      <c r="C798" s="1">
        <f>IFERROR(__xludf.DUMMYFUNCTION("""COMPUTED_VALUE"""),20.06)</f>
        <v>20.06</v>
      </c>
      <c r="D798" s="1">
        <f>IFERROR(__xludf.DUMMYFUNCTION("""COMPUTED_VALUE"""),19.68)</f>
        <v>19.68</v>
      </c>
      <c r="E798" s="1">
        <f>IFERROR(__xludf.DUMMYFUNCTION("""COMPUTED_VALUE"""),19.87)</f>
        <v>19.87</v>
      </c>
      <c r="F798" s="1">
        <f>IFERROR(__xludf.DUMMYFUNCTION("""COMPUTED_VALUE"""),309779.0)</f>
        <v>309779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IFERROR(__xludf.DUMMYFUNCTION("""COMPUTED_VALUE"""),19.96)</f>
        <v>19.96</v>
      </c>
      <c r="C799" s="1">
        <f>IFERROR(__xludf.DUMMYFUNCTION("""COMPUTED_VALUE"""),19.99)</f>
        <v>19.99</v>
      </c>
      <c r="D799" s="1">
        <f>IFERROR(__xludf.DUMMYFUNCTION("""COMPUTED_VALUE"""),19.69)</f>
        <v>19.69</v>
      </c>
      <c r="E799" s="1">
        <f>IFERROR(__xludf.DUMMYFUNCTION("""COMPUTED_VALUE"""),19.78)</f>
        <v>19.78</v>
      </c>
      <c r="F799" s="1">
        <f>IFERROR(__xludf.DUMMYFUNCTION("""COMPUTED_VALUE"""),337396.0)</f>
        <v>337396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IFERROR(__xludf.DUMMYFUNCTION("""COMPUTED_VALUE"""),19.75)</f>
        <v>19.75</v>
      </c>
      <c r="C800" s="1">
        <f>IFERROR(__xludf.DUMMYFUNCTION("""COMPUTED_VALUE"""),19.99)</f>
        <v>19.99</v>
      </c>
      <c r="D800" s="1">
        <f>IFERROR(__xludf.DUMMYFUNCTION("""COMPUTED_VALUE"""),19.67)</f>
        <v>19.67</v>
      </c>
      <c r="E800" s="1">
        <f>IFERROR(__xludf.DUMMYFUNCTION("""COMPUTED_VALUE"""),19.95)</f>
        <v>19.95</v>
      </c>
      <c r="F800" s="1">
        <f>IFERROR(__xludf.DUMMYFUNCTION("""COMPUTED_VALUE"""),207872.0)</f>
        <v>207872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IFERROR(__xludf.DUMMYFUNCTION("""COMPUTED_VALUE"""),20.11)</f>
        <v>20.11</v>
      </c>
      <c r="C801" s="1">
        <f>IFERROR(__xludf.DUMMYFUNCTION("""COMPUTED_VALUE"""),20.15)</f>
        <v>20.15</v>
      </c>
      <c r="D801" s="1">
        <f>IFERROR(__xludf.DUMMYFUNCTION("""COMPUTED_VALUE"""),19.96)</f>
        <v>19.96</v>
      </c>
      <c r="E801" s="1">
        <f>IFERROR(__xludf.DUMMYFUNCTION("""COMPUTED_VALUE"""),20.05)</f>
        <v>20.05</v>
      </c>
      <c r="F801" s="1">
        <f>IFERROR(__xludf.DUMMYFUNCTION("""COMPUTED_VALUE"""),222264.0)</f>
        <v>222264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IFERROR(__xludf.DUMMYFUNCTION("""COMPUTED_VALUE"""),19.96)</f>
        <v>19.96</v>
      </c>
      <c r="C802" s="1">
        <f>IFERROR(__xludf.DUMMYFUNCTION("""COMPUTED_VALUE"""),20.1)</f>
        <v>20.1</v>
      </c>
      <c r="D802" s="1">
        <f>IFERROR(__xludf.DUMMYFUNCTION("""COMPUTED_VALUE"""),19.95)</f>
        <v>19.95</v>
      </c>
      <c r="E802" s="1">
        <f>IFERROR(__xludf.DUMMYFUNCTION("""COMPUTED_VALUE"""),20.08)</f>
        <v>20.08</v>
      </c>
      <c r="F802" s="1">
        <f>IFERROR(__xludf.DUMMYFUNCTION("""COMPUTED_VALUE"""),152539.0)</f>
        <v>152539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IFERROR(__xludf.DUMMYFUNCTION("""COMPUTED_VALUE"""),20.01)</f>
        <v>20.01</v>
      </c>
      <c r="C803" s="1">
        <f>IFERROR(__xludf.DUMMYFUNCTION("""COMPUTED_VALUE"""),20.25)</f>
        <v>20.25</v>
      </c>
      <c r="D803" s="1">
        <f>IFERROR(__xludf.DUMMYFUNCTION("""COMPUTED_VALUE"""),20.01)</f>
        <v>20.01</v>
      </c>
      <c r="E803" s="1">
        <f>IFERROR(__xludf.DUMMYFUNCTION("""COMPUTED_VALUE"""),20.15)</f>
        <v>20.15</v>
      </c>
      <c r="F803" s="1">
        <f>IFERROR(__xludf.DUMMYFUNCTION("""COMPUTED_VALUE"""),168790.0)</f>
        <v>168790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IFERROR(__xludf.DUMMYFUNCTION("""COMPUTED_VALUE"""),20.18)</f>
        <v>20.18</v>
      </c>
      <c r="C804" s="1">
        <f>IFERROR(__xludf.DUMMYFUNCTION("""COMPUTED_VALUE"""),20.48)</f>
        <v>20.48</v>
      </c>
      <c r="D804" s="1">
        <f>IFERROR(__xludf.DUMMYFUNCTION("""COMPUTED_VALUE"""),20.1)</f>
        <v>20.1</v>
      </c>
      <c r="E804" s="1">
        <f>IFERROR(__xludf.DUMMYFUNCTION("""COMPUTED_VALUE"""),20.39)</f>
        <v>20.39</v>
      </c>
      <c r="F804" s="1">
        <f>IFERROR(__xludf.DUMMYFUNCTION("""COMPUTED_VALUE"""),159318.0)</f>
        <v>159318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IFERROR(__xludf.DUMMYFUNCTION("""COMPUTED_VALUE"""),20.43)</f>
        <v>20.43</v>
      </c>
      <c r="C805" s="1">
        <f>IFERROR(__xludf.DUMMYFUNCTION("""COMPUTED_VALUE"""),20.65)</f>
        <v>20.65</v>
      </c>
      <c r="D805" s="1">
        <f>IFERROR(__xludf.DUMMYFUNCTION("""COMPUTED_VALUE"""),20.4)</f>
        <v>20.4</v>
      </c>
      <c r="E805" s="1">
        <f>IFERROR(__xludf.DUMMYFUNCTION("""COMPUTED_VALUE"""),20.57)</f>
        <v>20.57</v>
      </c>
      <c r="F805" s="1">
        <f>IFERROR(__xludf.DUMMYFUNCTION("""COMPUTED_VALUE"""),235490.0)</f>
        <v>235490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IFERROR(__xludf.DUMMYFUNCTION("""COMPUTED_VALUE"""),20.6)</f>
        <v>20.6</v>
      </c>
      <c r="C806" s="1">
        <f>IFERROR(__xludf.DUMMYFUNCTION("""COMPUTED_VALUE"""),20.7)</f>
        <v>20.7</v>
      </c>
      <c r="D806" s="1">
        <f>IFERROR(__xludf.DUMMYFUNCTION("""COMPUTED_VALUE"""),20.45)</f>
        <v>20.45</v>
      </c>
      <c r="E806" s="1">
        <f>IFERROR(__xludf.DUMMYFUNCTION("""COMPUTED_VALUE"""),20.58)</f>
        <v>20.58</v>
      </c>
      <c r="F806" s="1">
        <f>IFERROR(__xludf.DUMMYFUNCTION("""COMPUTED_VALUE"""),878540.0)</f>
        <v>878540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IFERROR(__xludf.DUMMYFUNCTION("""COMPUTED_VALUE"""),20.27)</f>
        <v>20.27</v>
      </c>
      <c r="C807" s="1">
        <f>IFERROR(__xludf.DUMMYFUNCTION("""COMPUTED_VALUE"""),20.54)</f>
        <v>20.54</v>
      </c>
      <c r="D807" s="1">
        <f>IFERROR(__xludf.DUMMYFUNCTION("""COMPUTED_VALUE"""),20.15)</f>
        <v>20.15</v>
      </c>
      <c r="E807" s="1">
        <f>IFERROR(__xludf.DUMMYFUNCTION("""COMPUTED_VALUE"""),20.24)</f>
        <v>20.24</v>
      </c>
      <c r="F807" s="1">
        <f>IFERROR(__xludf.DUMMYFUNCTION("""COMPUTED_VALUE"""),188141.0)</f>
        <v>188141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IFERROR(__xludf.DUMMYFUNCTION("""COMPUTED_VALUE"""),20.36)</f>
        <v>20.36</v>
      </c>
      <c r="C808" s="1">
        <f>IFERROR(__xludf.DUMMYFUNCTION("""COMPUTED_VALUE"""),20.52)</f>
        <v>20.52</v>
      </c>
      <c r="D808" s="1">
        <f>IFERROR(__xludf.DUMMYFUNCTION("""COMPUTED_VALUE"""),20.12)</f>
        <v>20.12</v>
      </c>
      <c r="E808" s="1">
        <f>IFERROR(__xludf.DUMMYFUNCTION("""COMPUTED_VALUE"""),20.36)</f>
        <v>20.36</v>
      </c>
      <c r="F808" s="1">
        <f>IFERROR(__xludf.DUMMYFUNCTION("""COMPUTED_VALUE"""),165188.0)</f>
        <v>165188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IFERROR(__xludf.DUMMYFUNCTION("""COMPUTED_VALUE"""),20.53)</f>
        <v>20.53</v>
      </c>
      <c r="C809" s="1">
        <f>IFERROR(__xludf.DUMMYFUNCTION("""COMPUTED_VALUE"""),20.75)</f>
        <v>20.75</v>
      </c>
      <c r="D809" s="1">
        <f>IFERROR(__xludf.DUMMYFUNCTION("""COMPUTED_VALUE"""),20.41)</f>
        <v>20.41</v>
      </c>
      <c r="E809" s="1">
        <f>IFERROR(__xludf.DUMMYFUNCTION("""COMPUTED_VALUE"""),20.66)</f>
        <v>20.66</v>
      </c>
      <c r="F809" s="1">
        <f>IFERROR(__xludf.DUMMYFUNCTION("""COMPUTED_VALUE"""),273388.0)</f>
        <v>273388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IFERROR(__xludf.DUMMYFUNCTION("""COMPUTED_VALUE"""),20.46)</f>
        <v>20.46</v>
      </c>
      <c r="C810" s="1">
        <f>IFERROR(__xludf.DUMMYFUNCTION("""COMPUTED_VALUE"""),20.53)</f>
        <v>20.53</v>
      </c>
      <c r="D810" s="1">
        <f>IFERROR(__xludf.DUMMYFUNCTION("""COMPUTED_VALUE"""),20.06)</f>
        <v>20.06</v>
      </c>
      <c r="E810" s="1">
        <f>IFERROR(__xludf.DUMMYFUNCTION("""COMPUTED_VALUE"""),20.11)</f>
        <v>20.11</v>
      </c>
      <c r="F810" s="1">
        <f>IFERROR(__xludf.DUMMYFUNCTION("""COMPUTED_VALUE"""),253838.0)</f>
        <v>253838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IFERROR(__xludf.DUMMYFUNCTION("""COMPUTED_VALUE"""),20.14)</f>
        <v>20.14</v>
      </c>
      <c r="C811" s="1">
        <f>IFERROR(__xludf.DUMMYFUNCTION("""COMPUTED_VALUE"""),20.22)</f>
        <v>20.22</v>
      </c>
      <c r="D811" s="1">
        <f>IFERROR(__xludf.DUMMYFUNCTION("""COMPUTED_VALUE"""),20.04)</f>
        <v>20.04</v>
      </c>
      <c r="E811" s="1">
        <f>IFERROR(__xludf.DUMMYFUNCTION("""COMPUTED_VALUE"""),20.12)</f>
        <v>20.12</v>
      </c>
      <c r="F811" s="1">
        <f>IFERROR(__xludf.DUMMYFUNCTION("""COMPUTED_VALUE"""),176440.0)</f>
        <v>176440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IFERROR(__xludf.DUMMYFUNCTION("""COMPUTED_VALUE"""),20.16)</f>
        <v>20.16</v>
      </c>
      <c r="C812" s="1">
        <f>IFERROR(__xludf.DUMMYFUNCTION("""COMPUTED_VALUE"""),20.24)</f>
        <v>20.24</v>
      </c>
      <c r="D812" s="1">
        <f>IFERROR(__xludf.DUMMYFUNCTION("""COMPUTED_VALUE"""),19.91)</f>
        <v>19.91</v>
      </c>
      <c r="E812" s="1">
        <f>IFERROR(__xludf.DUMMYFUNCTION("""COMPUTED_VALUE"""),20.02)</f>
        <v>20.02</v>
      </c>
      <c r="F812" s="1">
        <f>IFERROR(__xludf.DUMMYFUNCTION("""COMPUTED_VALUE"""),238346.0)</f>
        <v>238346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IFERROR(__xludf.DUMMYFUNCTION("""COMPUTED_VALUE"""),20.17)</f>
        <v>20.17</v>
      </c>
      <c r="C813" s="1">
        <f>IFERROR(__xludf.DUMMYFUNCTION("""COMPUTED_VALUE"""),20.17)</f>
        <v>20.17</v>
      </c>
      <c r="D813" s="1">
        <f>IFERROR(__xludf.DUMMYFUNCTION("""COMPUTED_VALUE"""),19.93)</f>
        <v>19.93</v>
      </c>
      <c r="E813" s="1">
        <f>IFERROR(__xludf.DUMMYFUNCTION("""COMPUTED_VALUE"""),20.09)</f>
        <v>20.09</v>
      </c>
      <c r="F813" s="1">
        <f>IFERROR(__xludf.DUMMYFUNCTION("""COMPUTED_VALUE"""),132317.0)</f>
        <v>132317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IFERROR(__xludf.DUMMYFUNCTION("""COMPUTED_VALUE"""),19.9)</f>
        <v>19.9</v>
      </c>
      <c r="C814" s="1">
        <f>IFERROR(__xludf.DUMMYFUNCTION("""COMPUTED_VALUE"""),20.2)</f>
        <v>20.2</v>
      </c>
      <c r="D814" s="1">
        <f>IFERROR(__xludf.DUMMYFUNCTION("""COMPUTED_VALUE"""),19.84)</f>
        <v>19.84</v>
      </c>
      <c r="E814" s="1">
        <f>IFERROR(__xludf.DUMMYFUNCTION("""COMPUTED_VALUE"""),20.16)</f>
        <v>20.16</v>
      </c>
      <c r="F814" s="1">
        <f>IFERROR(__xludf.DUMMYFUNCTION("""COMPUTED_VALUE"""),184366.0)</f>
        <v>184366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IFERROR(__xludf.DUMMYFUNCTION("""COMPUTED_VALUE"""),20.22)</f>
        <v>20.22</v>
      </c>
      <c r="C815" s="1">
        <f>IFERROR(__xludf.DUMMYFUNCTION("""COMPUTED_VALUE"""),20.24)</f>
        <v>20.24</v>
      </c>
      <c r="D815" s="1">
        <f>IFERROR(__xludf.DUMMYFUNCTION("""COMPUTED_VALUE"""),20.05)</f>
        <v>20.05</v>
      </c>
      <c r="E815" s="1">
        <f>IFERROR(__xludf.DUMMYFUNCTION("""COMPUTED_VALUE"""),20.12)</f>
        <v>20.12</v>
      </c>
      <c r="F815" s="1">
        <f>IFERROR(__xludf.DUMMYFUNCTION("""COMPUTED_VALUE"""),223051.0)</f>
        <v>223051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IFERROR(__xludf.DUMMYFUNCTION("""COMPUTED_VALUE"""),20.03)</f>
        <v>20.03</v>
      </c>
      <c r="C816" s="1">
        <f>IFERROR(__xludf.DUMMYFUNCTION("""COMPUTED_VALUE"""),20.13)</f>
        <v>20.13</v>
      </c>
      <c r="D816" s="1">
        <f>IFERROR(__xludf.DUMMYFUNCTION("""COMPUTED_VALUE"""),19.48)</f>
        <v>19.48</v>
      </c>
      <c r="E816" s="1">
        <f>IFERROR(__xludf.DUMMYFUNCTION("""COMPUTED_VALUE"""),19.61)</f>
        <v>19.61</v>
      </c>
      <c r="F816" s="1">
        <f>IFERROR(__xludf.DUMMYFUNCTION("""COMPUTED_VALUE"""),320692.0)</f>
        <v>320692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IFERROR(__xludf.DUMMYFUNCTION("""COMPUTED_VALUE"""),19.69)</f>
        <v>19.69</v>
      </c>
      <c r="C817" s="1">
        <f>IFERROR(__xludf.DUMMYFUNCTION("""COMPUTED_VALUE"""),19.77)</f>
        <v>19.77</v>
      </c>
      <c r="D817" s="1">
        <f>IFERROR(__xludf.DUMMYFUNCTION("""COMPUTED_VALUE"""),19.31)</f>
        <v>19.31</v>
      </c>
      <c r="E817" s="1">
        <f>IFERROR(__xludf.DUMMYFUNCTION("""COMPUTED_VALUE"""),19.33)</f>
        <v>19.33</v>
      </c>
      <c r="F817" s="1">
        <f>IFERROR(__xludf.DUMMYFUNCTION("""COMPUTED_VALUE"""),218187.0)</f>
        <v>218187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IFERROR(__xludf.DUMMYFUNCTION("""COMPUTED_VALUE"""),19.41)</f>
        <v>19.41</v>
      </c>
      <c r="C818" s="1">
        <f>IFERROR(__xludf.DUMMYFUNCTION("""COMPUTED_VALUE"""),19.41)</f>
        <v>19.41</v>
      </c>
      <c r="D818" s="1">
        <f>IFERROR(__xludf.DUMMYFUNCTION("""COMPUTED_VALUE"""),18.99)</f>
        <v>18.99</v>
      </c>
      <c r="E818" s="1">
        <f>IFERROR(__xludf.DUMMYFUNCTION("""COMPUTED_VALUE"""),19.0)</f>
        <v>19</v>
      </c>
      <c r="F818" s="1">
        <f>IFERROR(__xludf.DUMMYFUNCTION("""COMPUTED_VALUE"""),305843.0)</f>
        <v>305843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IFERROR(__xludf.DUMMYFUNCTION("""COMPUTED_VALUE"""),19.09)</f>
        <v>19.09</v>
      </c>
      <c r="C819" s="1">
        <f>IFERROR(__xludf.DUMMYFUNCTION("""COMPUTED_VALUE"""),19.32)</f>
        <v>19.32</v>
      </c>
      <c r="D819" s="1">
        <f>IFERROR(__xludf.DUMMYFUNCTION("""COMPUTED_VALUE"""),19.01)</f>
        <v>19.01</v>
      </c>
      <c r="E819" s="1">
        <f>IFERROR(__xludf.DUMMYFUNCTION("""COMPUTED_VALUE"""),19.29)</f>
        <v>19.29</v>
      </c>
      <c r="F819" s="1">
        <f>IFERROR(__xludf.DUMMYFUNCTION("""COMPUTED_VALUE"""),194007.0)</f>
        <v>194007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IFERROR(__xludf.DUMMYFUNCTION("""COMPUTED_VALUE"""),19.0)</f>
        <v>19</v>
      </c>
      <c r="C820" s="1">
        <f>IFERROR(__xludf.DUMMYFUNCTION("""COMPUTED_VALUE"""),19.29)</f>
        <v>19.29</v>
      </c>
      <c r="D820" s="1">
        <f>IFERROR(__xludf.DUMMYFUNCTION("""COMPUTED_VALUE"""),18.91)</f>
        <v>18.91</v>
      </c>
      <c r="E820" s="1">
        <f>IFERROR(__xludf.DUMMYFUNCTION("""COMPUTED_VALUE"""),19.05)</f>
        <v>19.05</v>
      </c>
      <c r="F820" s="1">
        <f>IFERROR(__xludf.DUMMYFUNCTION("""COMPUTED_VALUE"""),279511.0)</f>
        <v>279511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IFERROR(__xludf.DUMMYFUNCTION("""COMPUTED_VALUE"""),19.15)</f>
        <v>19.15</v>
      </c>
      <c r="C821" s="1">
        <f>IFERROR(__xludf.DUMMYFUNCTION("""COMPUTED_VALUE"""),19.27)</f>
        <v>19.27</v>
      </c>
      <c r="D821" s="1">
        <f>IFERROR(__xludf.DUMMYFUNCTION("""COMPUTED_VALUE"""),18.87)</f>
        <v>18.87</v>
      </c>
      <c r="E821" s="1">
        <f>IFERROR(__xludf.DUMMYFUNCTION("""COMPUTED_VALUE"""),19.25)</f>
        <v>19.25</v>
      </c>
      <c r="F821" s="1">
        <f>IFERROR(__xludf.DUMMYFUNCTION("""COMPUTED_VALUE"""),154552.0)</f>
        <v>154552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IFERROR(__xludf.DUMMYFUNCTION("""COMPUTED_VALUE"""),19.35)</f>
        <v>19.35</v>
      </c>
      <c r="C822" s="1">
        <f>IFERROR(__xludf.DUMMYFUNCTION("""COMPUTED_VALUE"""),19.35)</f>
        <v>19.35</v>
      </c>
      <c r="D822" s="1">
        <f>IFERROR(__xludf.DUMMYFUNCTION("""COMPUTED_VALUE"""),19.05)</f>
        <v>19.05</v>
      </c>
      <c r="E822" s="1">
        <f>IFERROR(__xludf.DUMMYFUNCTION("""COMPUTED_VALUE"""),19.15)</f>
        <v>19.15</v>
      </c>
      <c r="F822" s="1">
        <f>IFERROR(__xludf.DUMMYFUNCTION("""COMPUTED_VALUE"""),198421.0)</f>
        <v>198421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IFERROR(__xludf.DUMMYFUNCTION("""COMPUTED_VALUE"""),19.27)</f>
        <v>19.27</v>
      </c>
      <c r="C823" s="1">
        <f>IFERROR(__xludf.DUMMYFUNCTION("""COMPUTED_VALUE"""),19.55)</f>
        <v>19.55</v>
      </c>
      <c r="D823" s="1">
        <f>IFERROR(__xludf.DUMMYFUNCTION("""COMPUTED_VALUE"""),19.19)</f>
        <v>19.19</v>
      </c>
      <c r="E823" s="1">
        <f>IFERROR(__xludf.DUMMYFUNCTION("""COMPUTED_VALUE"""),19.49)</f>
        <v>19.49</v>
      </c>
      <c r="F823" s="1">
        <f>IFERROR(__xludf.DUMMYFUNCTION("""COMPUTED_VALUE"""),170808.0)</f>
        <v>170808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IFERROR(__xludf.DUMMYFUNCTION("""COMPUTED_VALUE"""),19.52)</f>
        <v>19.52</v>
      </c>
      <c r="C824" s="1">
        <f>IFERROR(__xludf.DUMMYFUNCTION("""COMPUTED_VALUE"""),19.57)</f>
        <v>19.57</v>
      </c>
      <c r="D824" s="1">
        <f>IFERROR(__xludf.DUMMYFUNCTION("""COMPUTED_VALUE"""),19.26)</f>
        <v>19.26</v>
      </c>
      <c r="E824" s="1">
        <f>IFERROR(__xludf.DUMMYFUNCTION("""COMPUTED_VALUE"""),19.4)</f>
        <v>19.4</v>
      </c>
      <c r="F824" s="1">
        <f>IFERROR(__xludf.DUMMYFUNCTION("""COMPUTED_VALUE"""),174100.0)</f>
        <v>174100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IFERROR(__xludf.DUMMYFUNCTION("""COMPUTED_VALUE"""),19.22)</f>
        <v>19.22</v>
      </c>
      <c r="C825" s="1">
        <f>IFERROR(__xludf.DUMMYFUNCTION("""COMPUTED_VALUE"""),19.57)</f>
        <v>19.57</v>
      </c>
      <c r="D825" s="1">
        <f>IFERROR(__xludf.DUMMYFUNCTION("""COMPUTED_VALUE"""),19.06)</f>
        <v>19.06</v>
      </c>
      <c r="E825" s="1">
        <f>IFERROR(__xludf.DUMMYFUNCTION("""COMPUTED_VALUE"""),19.21)</f>
        <v>19.21</v>
      </c>
      <c r="F825" s="1">
        <f>IFERROR(__xludf.DUMMYFUNCTION("""COMPUTED_VALUE"""),196570.0)</f>
        <v>196570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IFERROR(__xludf.DUMMYFUNCTION("""COMPUTED_VALUE"""),19.15)</f>
        <v>19.15</v>
      </c>
      <c r="C826" s="1">
        <f>IFERROR(__xludf.DUMMYFUNCTION("""COMPUTED_VALUE"""),19.25)</f>
        <v>19.25</v>
      </c>
      <c r="D826" s="1">
        <f>IFERROR(__xludf.DUMMYFUNCTION("""COMPUTED_VALUE"""),18.4)</f>
        <v>18.4</v>
      </c>
      <c r="E826" s="1">
        <f>IFERROR(__xludf.DUMMYFUNCTION("""COMPUTED_VALUE"""),18.4)</f>
        <v>18.4</v>
      </c>
      <c r="F826" s="1">
        <f>IFERROR(__xludf.DUMMYFUNCTION("""COMPUTED_VALUE"""),482784.0)</f>
        <v>482784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IFERROR(__xludf.DUMMYFUNCTION("""COMPUTED_VALUE"""),18.63)</f>
        <v>18.63</v>
      </c>
      <c r="C827" s="1">
        <f>IFERROR(__xludf.DUMMYFUNCTION("""COMPUTED_VALUE"""),18.78)</f>
        <v>18.78</v>
      </c>
      <c r="D827" s="1">
        <f>IFERROR(__xludf.DUMMYFUNCTION("""COMPUTED_VALUE"""),18.41)</f>
        <v>18.41</v>
      </c>
      <c r="E827" s="1">
        <f>IFERROR(__xludf.DUMMYFUNCTION("""COMPUTED_VALUE"""),18.71)</f>
        <v>18.71</v>
      </c>
      <c r="F827" s="1">
        <f>IFERROR(__xludf.DUMMYFUNCTION("""COMPUTED_VALUE"""),299381.0)</f>
        <v>299381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IFERROR(__xludf.DUMMYFUNCTION("""COMPUTED_VALUE"""),18.48)</f>
        <v>18.48</v>
      </c>
      <c r="C828" s="1">
        <f>IFERROR(__xludf.DUMMYFUNCTION("""COMPUTED_VALUE"""),18.83)</f>
        <v>18.83</v>
      </c>
      <c r="D828" s="1">
        <f>IFERROR(__xludf.DUMMYFUNCTION("""COMPUTED_VALUE"""),17.87)</f>
        <v>17.87</v>
      </c>
      <c r="E828" s="1">
        <f>IFERROR(__xludf.DUMMYFUNCTION("""COMPUTED_VALUE"""),18.37)</f>
        <v>18.37</v>
      </c>
      <c r="F828" s="1">
        <f>IFERROR(__xludf.DUMMYFUNCTION("""COMPUTED_VALUE"""),625759.0)</f>
        <v>625759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IFERROR(__xludf.DUMMYFUNCTION("""COMPUTED_VALUE"""),18.74)</f>
        <v>18.74</v>
      </c>
      <c r="C829" s="1">
        <f>IFERROR(__xludf.DUMMYFUNCTION("""COMPUTED_VALUE"""),18.88)</f>
        <v>18.88</v>
      </c>
      <c r="D829" s="1">
        <f>IFERROR(__xludf.DUMMYFUNCTION("""COMPUTED_VALUE"""),18.43)</f>
        <v>18.43</v>
      </c>
      <c r="E829" s="1">
        <f>IFERROR(__xludf.DUMMYFUNCTION("""COMPUTED_VALUE"""),18.8)</f>
        <v>18.8</v>
      </c>
      <c r="F829" s="1">
        <f>IFERROR(__xludf.DUMMYFUNCTION("""COMPUTED_VALUE"""),574070.0)</f>
        <v>574070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IFERROR(__xludf.DUMMYFUNCTION("""COMPUTED_VALUE"""),18.8)</f>
        <v>18.8</v>
      </c>
      <c r="C830" s="1">
        <f>IFERROR(__xludf.DUMMYFUNCTION("""COMPUTED_VALUE"""),18.91)</f>
        <v>18.91</v>
      </c>
      <c r="D830" s="1">
        <f>IFERROR(__xludf.DUMMYFUNCTION("""COMPUTED_VALUE"""),18.58)</f>
        <v>18.58</v>
      </c>
      <c r="E830" s="1">
        <f>IFERROR(__xludf.DUMMYFUNCTION("""COMPUTED_VALUE"""),18.91)</f>
        <v>18.91</v>
      </c>
      <c r="F830" s="1">
        <f>IFERROR(__xludf.DUMMYFUNCTION("""COMPUTED_VALUE"""),353540.0)</f>
        <v>353540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IFERROR(__xludf.DUMMYFUNCTION("""COMPUTED_VALUE"""),18.98)</f>
        <v>18.98</v>
      </c>
      <c r="C831" s="1">
        <f>IFERROR(__xludf.DUMMYFUNCTION("""COMPUTED_VALUE"""),18.99)</f>
        <v>18.99</v>
      </c>
      <c r="D831" s="1">
        <f>IFERROR(__xludf.DUMMYFUNCTION("""COMPUTED_VALUE"""),18.54)</f>
        <v>18.54</v>
      </c>
      <c r="E831" s="1">
        <f>IFERROR(__xludf.DUMMYFUNCTION("""COMPUTED_VALUE"""),18.93)</f>
        <v>18.93</v>
      </c>
      <c r="F831" s="1">
        <f>IFERROR(__xludf.DUMMYFUNCTION("""COMPUTED_VALUE"""),345171.0)</f>
        <v>345171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IFERROR(__xludf.DUMMYFUNCTION("""COMPUTED_VALUE"""),19.07)</f>
        <v>19.07</v>
      </c>
      <c r="C832" s="1">
        <f>IFERROR(__xludf.DUMMYFUNCTION("""COMPUTED_VALUE"""),19.3)</f>
        <v>19.3</v>
      </c>
      <c r="D832" s="1">
        <f>IFERROR(__xludf.DUMMYFUNCTION("""COMPUTED_VALUE"""),19.01)</f>
        <v>19.01</v>
      </c>
      <c r="E832" s="1">
        <f>IFERROR(__xludf.DUMMYFUNCTION("""COMPUTED_VALUE"""),19.27)</f>
        <v>19.27</v>
      </c>
      <c r="F832" s="1">
        <f>IFERROR(__xludf.DUMMYFUNCTION("""COMPUTED_VALUE"""),274128.0)</f>
        <v>274128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IFERROR(__xludf.DUMMYFUNCTION("""COMPUTED_VALUE"""),19.28)</f>
        <v>19.28</v>
      </c>
      <c r="C833" s="1">
        <f>IFERROR(__xludf.DUMMYFUNCTION("""COMPUTED_VALUE"""),19.48)</f>
        <v>19.48</v>
      </c>
      <c r="D833" s="1">
        <f>IFERROR(__xludf.DUMMYFUNCTION("""COMPUTED_VALUE"""),19.11)</f>
        <v>19.11</v>
      </c>
      <c r="E833" s="1">
        <f>IFERROR(__xludf.DUMMYFUNCTION("""COMPUTED_VALUE"""),19.39)</f>
        <v>19.39</v>
      </c>
      <c r="F833" s="1">
        <f>IFERROR(__xludf.DUMMYFUNCTION("""COMPUTED_VALUE"""),202414.0)</f>
        <v>202414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IFERROR(__xludf.DUMMYFUNCTION("""COMPUTED_VALUE"""),19.4)</f>
        <v>19.4</v>
      </c>
      <c r="C834" s="1">
        <f>IFERROR(__xludf.DUMMYFUNCTION("""COMPUTED_VALUE"""),19.76)</f>
        <v>19.76</v>
      </c>
      <c r="D834" s="1">
        <f>IFERROR(__xludf.DUMMYFUNCTION("""COMPUTED_VALUE"""),19.22)</f>
        <v>19.22</v>
      </c>
      <c r="E834" s="1">
        <f>IFERROR(__xludf.DUMMYFUNCTION("""COMPUTED_VALUE"""),19.63)</f>
        <v>19.63</v>
      </c>
      <c r="F834" s="1">
        <f>IFERROR(__xludf.DUMMYFUNCTION("""COMPUTED_VALUE"""),408722.0)</f>
        <v>408722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IFERROR(__xludf.DUMMYFUNCTION("""COMPUTED_VALUE"""),19.59)</f>
        <v>19.59</v>
      </c>
      <c r="C835" s="1">
        <f>IFERROR(__xludf.DUMMYFUNCTION("""COMPUTED_VALUE"""),19.59)</f>
        <v>19.59</v>
      </c>
      <c r="D835" s="1">
        <f>IFERROR(__xludf.DUMMYFUNCTION("""COMPUTED_VALUE"""),19.3)</f>
        <v>19.3</v>
      </c>
      <c r="E835" s="1">
        <f>IFERROR(__xludf.DUMMYFUNCTION("""COMPUTED_VALUE"""),19.45)</f>
        <v>19.45</v>
      </c>
      <c r="F835" s="1">
        <f>IFERROR(__xludf.DUMMYFUNCTION("""COMPUTED_VALUE"""),301650.0)</f>
        <v>301650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IFERROR(__xludf.DUMMYFUNCTION("""COMPUTED_VALUE"""),19.55)</f>
        <v>19.55</v>
      </c>
      <c r="C836" s="1">
        <f>IFERROR(__xludf.DUMMYFUNCTION("""COMPUTED_VALUE"""),19.61)</f>
        <v>19.61</v>
      </c>
      <c r="D836" s="1">
        <f>IFERROR(__xludf.DUMMYFUNCTION("""COMPUTED_VALUE"""),19.37)</f>
        <v>19.37</v>
      </c>
      <c r="E836" s="1">
        <f>IFERROR(__xludf.DUMMYFUNCTION("""COMPUTED_VALUE"""),19.53)</f>
        <v>19.53</v>
      </c>
      <c r="F836" s="1">
        <f>IFERROR(__xludf.DUMMYFUNCTION("""COMPUTED_VALUE"""),131015.0)</f>
        <v>131015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IFERROR(__xludf.DUMMYFUNCTION("""COMPUTED_VALUE"""),19.57)</f>
        <v>19.57</v>
      </c>
      <c r="C837" s="1">
        <f>IFERROR(__xludf.DUMMYFUNCTION("""COMPUTED_VALUE"""),19.71)</f>
        <v>19.71</v>
      </c>
      <c r="D837" s="1">
        <f>IFERROR(__xludf.DUMMYFUNCTION("""COMPUTED_VALUE"""),19.41)</f>
        <v>19.41</v>
      </c>
      <c r="E837" s="1">
        <f>IFERROR(__xludf.DUMMYFUNCTION("""COMPUTED_VALUE"""),19.71)</f>
        <v>19.71</v>
      </c>
      <c r="F837" s="1">
        <f>IFERROR(__xludf.DUMMYFUNCTION("""COMPUTED_VALUE"""),301222.0)</f>
        <v>301222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IFERROR(__xludf.DUMMYFUNCTION("""COMPUTED_VALUE"""),19.66)</f>
        <v>19.66</v>
      </c>
      <c r="C838" s="1">
        <f>IFERROR(__xludf.DUMMYFUNCTION("""COMPUTED_VALUE"""),19.71)</f>
        <v>19.71</v>
      </c>
      <c r="D838" s="1">
        <f>IFERROR(__xludf.DUMMYFUNCTION("""COMPUTED_VALUE"""),18.86)</f>
        <v>18.86</v>
      </c>
      <c r="E838" s="1">
        <f>IFERROR(__xludf.DUMMYFUNCTION("""COMPUTED_VALUE"""),18.91)</f>
        <v>18.91</v>
      </c>
      <c r="F838" s="1">
        <f>IFERROR(__xludf.DUMMYFUNCTION("""COMPUTED_VALUE"""),435958.0)</f>
        <v>435958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IFERROR(__xludf.DUMMYFUNCTION("""COMPUTED_VALUE"""),18.97)</f>
        <v>18.97</v>
      </c>
      <c r="C839" s="1">
        <f>IFERROR(__xludf.DUMMYFUNCTION("""COMPUTED_VALUE"""),19.51)</f>
        <v>19.51</v>
      </c>
      <c r="D839" s="1">
        <f>IFERROR(__xludf.DUMMYFUNCTION("""COMPUTED_VALUE"""),18.9)</f>
        <v>18.9</v>
      </c>
      <c r="E839" s="1">
        <f>IFERROR(__xludf.DUMMYFUNCTION("""COMPUTED_VALUE"""),19.47)</f>
        <v>19.47</v>
      </c>
      <c r="F839" s="1">
        <f>IFERROR(__xludf.DUMMYFUNCTION("""COMPUTED_VALUE"""),379554.0)</f>
        <v>379554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IFERROR(__xludf.DUMMYFUNCTION("""COMPUTED_VALUE"""),19.77)</f>
        <v>19.77</v>
      </c>
      <c r="C840" s="1">
        <f>IFERROR(__xludf.DUMMYFUNCTION("""COMPUTED_VALUE"""),19.95)</f>
        <v>19.95</v>
      </c>
      <c r="D840" s="1">
        <f>IFERROR(__xludf.DUMMYFUNCTION("""COMPUTED_VALUE"""),19.62)</f>
        <v>19.62</v>
      </c>
      <c r="E840" s="1">
        <f>IFERROR(__xludf.DUMMYFUNCTION("""COMPUTED_VALUE"""),19.77)</f>
        <v>19.77</v>
      </c>
      <c r="F840" s="1">
        <f>IFERROR(__xludf.DUMMYFUNCTION("""COMPUTED_VALUE"""),220504.0)</f>
        <v>220504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IFERROR(__xludf.DUMMYFUNCTION("""COMPUTED_VALUE"""),19.73)</f>
        <v>19.73</v>
      </c>
      <c r="C841" s="1">
        <f>IFERROR(__xludf.DUMMYFUNCTION("""COMPUTED_VALUE"""),20.18)</f>
        <v>20.18</v>
      </c>
      <c r="D841" s="1">
        <f>IFERROR(__xludf.DUMMYFUNCTION("""COMPUTED_VALUE"""),19.59)</f>
        <v>19.59</v>
      </c>
      <c r="E841" s="1">
        <f>IFERROR(__xludf.DUMMYFUNCTION("""COMPUTED_VALUE"""),20.01)</f>
        <v>20.01</v>
      </c>
      <c r="F841" s="1">
        <f>IFERROR(__xludf.DUMMYFUNCTION("""COMPUTED_VALUE"""),194383.0)</f>
        <v>194383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IFERROR(__xludf.DUMMYFUNCTION("""COMPUTED_VALUE"""),20.0)</f>
        <v>20</v>
      </c>
      <c r="C842" s="1">
        <f>IFERROR(__xludf.DUMMYFUNCTION("""COMPUTED_VALUE"""),20.53)</f>
        <v>20.53</v>
      </c>
      <c r="D842" s="1">
        <f>IFERROR(__xludf.DUMMYFUNCTION("""COMPUTED_VALUE"""),19.9)</f>
        <v>19.9</v>
      </c>
      <c r="E842" s="1">
        <f>IFERROR(__xludf.DUMMYFUNCTION("""COMPUTED_VALUE"""),20.52)</f>
        <v>20.52</v>
      </c>
      <c r="F842" s="1">
        <f>IFERROR(__xludf.DUMMYFUNCTION("""COMPUTED_VALUE"""),255958.0)</f>
        <v>255958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IFERROR(__xludf.DUMMYFUNCTION("""COMPUTED_VALUE"""),20.49)</f>
        <v>20.49</v>
      </c>
      <c r="C843" s="1">
        <f>IFERROR(__xludf.DUMMYFUNCTION("""COMPUTED_VALUE"""),20.49)</f>
        <v>20.49</v>
      </c>
      <c r="D843" s="1">
        <f>IFERROR(__xludf.DUMMYFUNCTION("""COMPUTED_VALUE"""),20.0)</f>
        <v>20</v>
      </c>
      <c r="E843" s="1">
        <f>IFERROR(__xludf.DUMMYFUNCTION("""COMPUTED_VALUE"""),20.11)</f>
        <v>20.11</v>
      </c>
      <c r="F843" s="1">
        <f>IFERROR(__xludf.DUMMYFUNCTION("""COMPUTED_VALUE"""),345418.0)</f>
        <v>345418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IFERROR(__xludf.DUMMYFUNCTION("""COMPUTED_VALUE"""),20.06)</f>
        <v>20.06</v>
      </c>
      <c r="C844" s="1">
        <f>IFERROR(__xludf.DUMMYFUNCTION("""COMPUTED_VALUE"""),20.12)</f>
        <v>20.12</v>
      </c>
      <c r="D844" s="1">
        <f>IFERROR(__xludf.DUMMYFUNCTION("""COMPUTED_VALUE"""),19.87)</f>
        <v>19.87</v>
      </c>
      <c r="E844" s="1">
        <f>IFERROR(__xludf.DUMMYFUNCTION("""COMPUTED_VALUE"""),19.9)</f>
        <v>19.9</v>
      </c>
      <c r="F844" s="1">
        <f>IFERROR(__xludf.DUMMYFUNCTION("""COMPUTED_VALUE"""),120332.0)</f>
        <v>120332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IFERROR(__xludf.DUMMYFUNCTION("""COMPUTED_VALUE"""),19.99)</f>
        <v>19.99</v>
      </c>
      <c r="C845" s="1">
        <f>IFERROR(__xludf.DUMMYFUNCTION("""COMPUTED_VALUE"""),20.11)</f>
        <v>20.11</v>
      </c>
      <c r="D845" s="1">
        <f>IFERROR(__xludf.DUMMYFUNCTION("""COMPUTED_VALUE"""),19.89)</f>
        <v>19.89</v>
      </c>
      <c r="E845" s="1">
        <f>IFERROR(__xludf.DUMMYFUNCTION("""COMPUTED_VALUE"""),20.03)</f>
        <v>20.03</v>
      </c>
      <c r="F845" s="1">
        <f>IFERROR(__xludf.DUMMYFUNCTION("""COMPUTED_VALUE"""),135847.0)</f>
        <v>135847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IFERROR(__xludf.DUMMYFUNCTION("""COMPUTED_VALUE"""),20.01)</f>
        <v>20.01</v>
      </c>
      <c r="C846" s="1">
        <f>IFERROR(__xludf.DUMMYFUNCTION("""COMPUTED_VALUE"""),20.26)</f>
        <v>20.26</v>
      </c>
      <c r="D846" s="1">
        <f>IFERROR(__xludf.DUMMYFUNCTION("""COMPUTED_VALUE"""),19.89)</f>
        <v>19.89</v>
      </c>
      <c r="E846" s="1">
        <f>IFERROR(__xludf.DUMMYFUNCTION("""COMPUTED_VALUE"""),20.19)</f>
        <v>20.19</v>
      </c>
      <c r="F846" s="1">
        <f>IFERROR(__xludf.DUMMYFUNCTION("""COMPUTED_VALUE"""),174913.0)</f>
        <v>174913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IFERROR(__xludf.DUMMYFUNCTION("""COMPUTED_VALUE"""),20.16)</f>
        <v>20.16</v>
      </c>
      <c r="C847" s="1">
        <f>IFERROR(__xludf.DUMMYFUNCTION("""COMPUTED_VALUE"""),20.49)</f>
        <v>20.49</v>
      </c>
      <c r="D847" s="1">
        <f>IFERROR(__xludf.DUMMYFUNCTION("""COMPUTED_VALUE"""),20.16)</f>
        <v>20.16</v>
      </c>
      <c r="E847" s="1">
        <f>IFERROR(__xludf.DUMMYFUNCTION("""COMPUTED_VALUE"""),20.47)</f>
        <v>20.47</v>
      </c>
      <c r="F847" s="1">
        <f>IFERROR(__xludf.DUMMYFUNCTION("""COMPUTED_VALUE"""),173946.0)</f>
        <v>173946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IFERROR(__xludf.DUMMYFUNCTION("""COMPUTED_VALUE"""),20.46)</f>
        <v>20.46</v>
      </c>
      <c r="C848" s="1">
        <f>IFERROR(__xludf.DUMMYFUNCTION("""COMPUTED_VALUE"""),20.72)</f>
        <v>20.72</v>
      </c>
      <c r="D848" s="1">
        <f>IFERROR(__xludf.DUMMYFUNCTION("""COMPUTED_VALUE"""),20.35)</f>
        <v>20.35</v>
      </c>
      <c r="E848" s="1">
        <f>IFERROR(__xludf.DUMMYFUNCTION("""COMPUTED_VALUE"""),20.5)</f>
        <v>20.5</v>
      </c>
      <c r="F848" s="1">
        <f>IFERROR(__xludf.DUMMYFUNCTION("""COMPUTED_VALUE"""),206864.0)</f>
        <v>206864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IFERROR(__xludf.DUMMYFUNCTION("""COMPUTED_VALUE"""),20.46)</f>
        <v>20.46</v>
      </c>
      <c r="C849" s="1">
        <f>IFERROR(__xludf.DUMMYFUNCTION("""COMPUTED_VALUE"""),20.59)</f>
        <v>20.59</v>
      </c>
      <c r="D849" s="1">
        <f>IFERROR(__xludf.DUMMYFUNCTION("""COMPUTED_VALUE"""),20.29)</f>
        <v>20.29</v>
      </c>
      <c r="E849" s="1">
        <f>IFERROR(__xludf.DUMMYFUNCTION("""COMPUTED_VALUE"""),20.4)</f>
        <v>20.4</v>
      </c>
      <c r="F849" s="1">
        <f>IFERROR(__xludf.DUMMYFUNCTION("""COMPUTED_VALUE"""),152382.0)</f>
        <v>152382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IFERROR(__xludf.DUMMYFUNCTION("""COMPUTED_VALUE"""),20.47)</f>
        <v>20.47</v>
      </c>
      <c r="C850" s="1">
        <f>IFERROR(__xludf.DUMMYFUNCTION("""COMPUTED_VALUE"""),20.66)</f>
        <v>20.66</v>
      </c>
      <c r="D850" s="1">
        <f>IFERROR(__xludf.DUMMYFUNCTION("""COMPUTED_VALUE"""),20.46)</f>
        <v>20.46</v>
      </c>
      <c r="E850" s="1">
        <f>IFERROR(__xludf.DUMMYFUNCTION("""COMPUTED_VALUE"""),20.63)</f>
        <v>20.63</v>
      </c>
      <c r="F850" s="1">
        <f>IFERROR(__xludf.DUMMYFUNCTION("""COMPUTED_VALUE"""),224288.0)</f>
        <v>224288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IFERROR(__xludf.DUMMYFUNCTION("""COMPUTED_VALUE"""),20.52)</f>
        <v>20.52</v>
      </c>
      <c r="C851" s="1">
        <f>IFERROR(__xludf.DUMMYFUNCTION("""COMPUTED_VALUE"""),20.81)</f>
        <v>20.81</v>
      </c>
      <c r="D851" s="1">
        <f>IFERROR(__xludf.DUMMYFUNCTION("""COMPUTED_VALUE"""),20.52)</f>
        <v>20.52</v>
      </c>
      <c r="E851" s="1">
        <f>IFERROR(__xludf.DUMMYFUNCTION("""COMPUTED_VALUE"""),20.8)</f>
        <v>20.8</v>
      </c>
      <c r="F851" s="1">
        <f>IFERROR(__xludf.DUMMYFUNCTION("""COMPUTED_VALUE"""),218947.0)</f>
        <v>218947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IFERROR(__xludf.DUMMYFUNCTION("""COMPUTED_VALUE"""),20.77)</f>
        <v>20.77</v>
      </c>
      <c r="C852" s="1">
        <f>IFERROR(__xludf.DUMMYFUNCTION("""COMPUTED_VALUE"""),21.0)</f>
        <v>21</v>
      </c>
      <c r="D852" s="1">
        <f>IFERROR(__xludf.DUMMYFUNCTION("""COMPUTED_VALUE"""),20.64)</f>
        <v>20.64</v>
      </c>
      <c r="E852" s="1">
        <f>IFERROR(__xludf.DUMMYFUNCTION("""COMPUTED_VALUE"""),20.93)</f>
        <v>20.93</v>
      </c>
      <c r="F852" s="1">
        <f>IFERROR(__xludf.DUMMYFUNCTION("""COMPUTED_VALUE"""),158692.0)</f>
        <v>158692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IFERROR(__xludf.DUMMYFUNCTION("""COMPUTED_VALUE"""),20.9)</f>
        <v>20.9</v>
      </c>
      <c r="C853" s="1">
        <f>IFERROR(__xludf.DUMMYFUNCTION("""COMPUTED_VALUE"""),21.05)</f>
        <v>21.05</v>
      </c>
      <c r="D853" s="1">
        <f>IFERROR(__xludf.DUMMYFUNCTION("""COMPUTED_VALUE"""),20.12)</f>
        <v>20.12</v>
      </c>
      <c r="E853" s="1">
        <f>IFERROR(__xludf.DUMMYFUNCTION("""COMPUTED_VALUE"""),20.17)</f>
        <v>20.17</v>
      </c>
      <c r="F853" s="1">
        <f>IFERROR(__xludf.DUMMYFUNCTION("""COMPUTED_VALUE"""),332248.0)</f>
        <v>332248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IFERROR(__xludf.DUMMYFUNCTION("""COMPUTED_VALUE"""),19.98)</f>
        <v>19.98</v>
      </c>
      <c r="C854" s="1">
        <f>IFERROR(__xludf.DUMMYFUNCTION("""COMPUTED_VALUE"""),20.25)</f>
        <v>20.25</v>
      </c>
      <c r="D854" s="1">
        <f>IFERROR(__xludf.DUMMYFUNCTION("""COMPUTED_VALUE"""),19.74)</f>
        <v>19.74</v>
      </c>
      <c r="E854" s="1">
        <f>IFERROR(__xludf.DUMMYFUNCTION("""COMPUTED_VALUE"""),20.22)</f>
        <v>20.22</v>
      </c>
      <c r="F854" s="1">
        <f>IFERROR(__xludf.DUMMYFUNCTION("""COMPUTED_VALUE"""),429731.0)</f>
        <v>429731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IFERROR(__xludf.DUMMYFUNCTION("""COMPUTED_VALUE"""),20.12)</f>
        <v>20.12</v>
      </c>
      <c r="C855" s="1">
        <f>IFERROR(__xludf.DUMMYFUNCTION("""COMPUTED_VALUE"""),20.41)</f>
        <v>20.41</v>
      </c>
      <c r="D855" s="1">
        <f>IFERROR(__xludf.DUMMYFUNCTION("""COMPUTED_VALUE"""),19.92)</f>
        <v>19.92</v>
      </c>
      <c r="E855" s="1">
        <f>IFERROR(__xludf.DUMMYFUNCTION("""COMPUTED_VALUE"""),20.37)</f>
        <v>20.37</v>
      </c>
      <c r="F855" s="1">
        <f>IFERROR(__xludf.DUMMYFUNCTION("""COMPUTED_VALUE"""),139450.0)</f>
        <v>139450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IFERROR(__xludf.DUMMYFUNCTION("""COMPUTED_VALUE"""),20.61)</f>
        <v>20.61</v>
      </c>
      <c r="C856" s="1">
        <f>IFERROR(__xludf.DUMMYFUNCTION("""COMPUTED_VALUE"""),21.06)</f>
        <v>21.06</v>
      </c>
      <c r="D856" s="1">
        <f>IFERROR(__xludf.DUMMYFUNCTION("""COMPUTED_VALUE"""),20.55)</f>
        <v>20.55</v>
      </c>
      <c r="E856" s="1">
        <f>IFERROR(__xludf.DUMMYFUNCTION("""COMPUTED_VALUE"""),20.82)</f>
        <v>20.82</v>
      </c>
      <c r="F856" s="1">
        <f>IFERROR(__xludf.DUMMYFUNCTION("""COMPUTED_VALUE"""),163779.0)</f>
        <v>163779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IFERROR(__xludf.DUMMYFUNCTION("""COMPUTED_VALUE"""),20.61)</f>
        <v>20.61</v>
      </c>
      <c r="C857" s="1">
        <f>IFERROR(__xludf.DUMMYFUNCTION("""COMPUTED_VALUE"""),20.92)</f>
        <v>20.92</v>
      </c>
      <c r="D857" s="1">
        <f>IFERROR(__xludf.DUMMYFUNCTION("""COMPUTED_VALUE"""),20.52)</f>
        <v>20.52</v>
      </c>
      <c r="E857" s="1">
        <f>IFERROR(__xludf.DUMMYFUNCTION("""COMPUTED_VALUE"""),20.69)</f>
        <v>20.69</v>
      </c>
      <c r="F857" s="1">
        <f>IFERROR(__xludf.DUMMYFUNCTION("""COMPUTED_VALUE"""),96687.0)</f>
        <v>96687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IFERROR(__xludf.DUMMYFUNCTION("""COMPUTED_VALUE"""),20.72)</f>
        <v>20.72</v>
      </c>
      <c r="C858" s="1">
        <f>IFERROR(__xludf.DUMMYFUNCTION("""COMPUTED_VALUE"""),21.02)</f>
        <v>21.02</v>
      </c>
      <c r="D858" s="1">
        <f>IFERROR(__xludf.DUMMYFUNCTION("""COMPUTED_VALUE"""),20.52)</f>
        <v>20.52</v>
      </c>
      <c r="E858" s="1">
        <f>IFERROR(__xludf.DUMMYFUNCTION("""COMPUTED_VALUE"""),20.99)</f>
        <v>20.99</v>
      </c>
      <c r="F858" s="1">
        <f>IFERROR(__xludf.DUMMYFUNCTION("""COMPUTED_VALUE"""),124985.0)</f>
        <v>124985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IFERROR(__xludf.DUMMYFUNCTION("""COMPUTED_VALUE"""),20.82)</f>
        <v>20.82</v>
      </c>
      <c r="C859" s="1">
        <f>IFERROR(__xludf.DUMMYFUNCTION("""COMPUTED_VALUE"""),20.95)</f>
        <v>20.95</v>
      </c>
      <c r="D859" s="1">
        <f>IFERROR(__xludf.DUMMYFUNCTION("""COMPUTED_VALUE"""),20.27)</f>
        <v>20.27</v>
      </c>
      <c r="E859" s="1">
        <f>IFERROR(__xludf.DUMMYFUNCTION("""COMPUTED_VALUE"""),20.29)</f>
        <v>20.29</v>
      </c>
      <c r="F859" s="1">
        <f>IFERROR(__xludf.DUMMYFUNCTION("""COMPUTED_VALUE"""),344982.0)</f>
        <v>344982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IFERROR(__xludf.DUMMYFUNCTION("""COMPUTED_VALUE"""),20.35)</f>
        <v>20.35</v>
      </c>
      <c r="C860" s="1">
        <f>IFERROR(__xludf.DUMMYFUNCTION("""COMPUTED_VALUE"""),20.63)</f>
        <v>20.63</v>
      </c>
      <c r="D860" s="1">
        <f>IFERROR(__xludf.DUMMYFUNCTION("""COMPUTED_VALUE"""),20.01)</f>
        <v>20.01</v>
      </c>
      <c r="E860" s="1">
        <f>IFERROR(__xludf.DUMMYFUNCTION("""COMPUTED_VALUE"""),20.57)</f>
        <v>20.57</v>
      </c>
      <c r="F860" s="1">
        <f>IFERROR(__xludf.DUMMYFUNCTION("""COMPUTED_VALUE"""),389359.0)</f>
        <v>389359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IFERROR(__xludf.DUMMYFUNCTION("""COMPUTED_VALUE"""),20.56)</f>
        <v>20.56</v>
      </c>
      <c r="C861" s="1">
        <f>IFERROR(__xludf.DUMMYFUNCTION("""COMPUTED_VALUE"""),20.76)</f>
        <v>20.76</v>
      </c>
      <c r="D861" s="1">
        <f>IFERROR(__xludf.DUMMYFUNCTION("""COMPUTED_VALUE"""),19.8)</f>
        <v>19.8</v>
      </c>
      <c r="E861" s="1">
        <f>IFERROR(__xludf.DUMMYFUNCTION("""COMPUTED_VALUE"""),20.01)</f>
        <v>20.01</v>
      </c>
      <c r="F861" s="1">
        <f>IFERROR(__xludf.DUMMYFUNCTION("""COMPUTED_VALUE"""),376716.0)</f>
        <v>376716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IFERROR(__xludf.DUMMYFUNCTION("""COMPUTED_VALUE"""),20.02)</f>
        <v>20.02</v>
      </c>
      <c r="C862" s="1">
        <f>IFERROR(__xludf.DUMMYFUNCTION("""COMPUTED_VALUE"""),20.02)</f>
        <v>20.02</v>
      </c>
      <c r="D862" s="1">
        <f>IFERROR(__xludf.DUMMYFUNCTION("""COMPUTED_VALUE"""),19.34)</f>
        <v>19.34</v>
      </c>
      <c r="E862" s="1">
        <f>IFERROR(__xludf.DUMMYFUNCTION("""COMPUTED_VALUE"""),19.43)</f>
        <v>19.43</v>
      </c>
      <c r="F862" s="1">
        <f>IFERROR(__xludf.DUMMYFUNCTION("""COMPUTED_VALUE"""),345183.0)</f>
        <v>345183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IFERROR(__xludf.DUMMYFUNCTION("""COMPUTED_VALUE"""),19.45)</f>
        <v>19.45</v>
      </c>
      <c r="C863" s="1">
        <f>IFERROR(__xludf.DUMMYFUNCTION("""COMPUTED_VALUE"""),20.25)</f>
        <v>20.25</v>
      </c>
      <c r="D863" s="1">
        <f>IFERROR(__xludf.DUMMYFUNCTION("""COMPUTED_VALUE"""),19.29)</f>
        <v>19.29</v>
      </c>
      <c r="E863" s="1">
        <f>IFERROR(__xludf.DUMMYFUNCTION("""COMPUTED_VALUE"""),20.18)</f>
        <v>20.18</v>
      </c>
      <c r="F863" s="1">
        <f>IFERROR(__xludf.DUMMYFUNCTION("""COMPUTED_VALUE"""),352436.0)</f>
        <v>352436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IFERROR(__xludf.DUMMYFUNCTION("""COMPUTED_VALUE"""),20.39)</f>
        <v>20.39</v>
      </c>
      <c r="C864" s="1">
        <f>IFERROR(__xludf.DUMMYFUNCTION("""COMPUTED_VALUE"""),20.39)</f>
        <v>20.39</v>
      </c>
      <c r="D864" s="1">
        <f>IFERROR(__xludf.DUMMYFUNCTION("""COMPUTED_VALUE"""),20.13)</f>
        <v>20.13</v>
      </c>
      <c r="E864" s="1">
        <f>IFERROR(__xludf.DUMMYFUNCTION("""COMPUTED_VALUE"""),20.26)</f>
        <v>20.26</v>
      </c>
      <c r="F864" s="1">
        <f>IFERROR(__xludf.DUMMYFUNCTION("""COMPUTED_VALUE"""),149933.0)</f>
        <v>149933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IFERROR(__xludf.DUMMYFUNCTION("""COMPUTED_VALUE"""),20.31)</f>
        <v>20.31</v>
      </c>
      <c r="C865" s="1">
        <f>IFERROR(__xludf.DUMMYFUNCTION("""COMPUTED_VALUE"""),20.56)</f>
        <v>20.56</v>
      </c>
      <c r="D865" s="1">
        <f>IFERROR(__xludf.DUMMYFUNCTION("""COMPUTED_VALUE"""),20.19)</f>
        <v>20.19</v>
      </c>
      <c r="E865" s="1">
        <f>IFERROR(__xludf.DUMMYFUNCTION("""COMPUTED_VALUE"""),20.55)</f>
        <v>20.55</v>
      </c>
      <c r="F865" s="1">
        <f>IFERROR(__xludf.DUMMYFUNCTION("""COMPUTED_VALUE"""),111695.0)</f>
        <v>111695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IFERROR(__xludf.DUMMYFUNCTION("""COMPUTED_VALUE"""),20.23)</f>
        <v>20.23</v>
      </c>
      <c r="C866" s="1">
        <f>IFERROR(__xludf.DUMMYFUNCTION("""COMPUTED_VALUE"""),20.46)</f>
        <v>20.46</v>
      </c>
      <c r="D866" s="1">
        <f>IFERROR(__xludf.DUMMYFUNCTION("""COMPUTED_VALUE"""),20.05)</f>
        <v>20.05</v>
      </c>
      <c r="E866" s="1">
        <f>IFERROR(__xludf.DUMMYFUNCTION("""COMPUTED_VALUE"""),20.14)</f>
        <v>20.14</v>
      </c>
      <c r="F866" s="1">
        <f>IFERROR(__xludf.DUMMYFUNCTION("""COMPUTED_VALUE"""),99473.0)</f>
        <v>99473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IFERROR(__xludf.DUMMYFUNCTION("""COMPUTED_VALUE"""),20.26)</f>
        <v>20.26</v>
      </c>
      <c r="C867" s="1">
        <f>IFERROR(__xludf.DUMMYFUNCTION("""COMPUTED_VALUE"""),20.32)</f>
        <v>20.32</v>
      </c>
      <c r="D867" s="1">
        <f>IFERROR(__xludf.DUMMYFUNCTION("""COMPUTED_VALUE"""),19.68)</f>
        <v>19.68</v>
      </c>
      <c r="E867" s="1">
        <f>IFERROR(__xludf.DUMMYFUNCTION("""COMPUTED_VALUE"""),19.78)</f>
        <v>19.78</v>
      </c>
      <c r="F867" s="1">
        <f>IFERROR(__xludf.DUMMYFUNCTION("""COMPUTED_VALUE"""),134993.0)</f>
        <v>134993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IFERROR(__xludf.DUMMYFUNCTION("""COMPUTED_VALUE"""),19.73)</f>
        <v>19.73</v>
      </c>
      <c r="C868" s="1">
        <f>IFERROR(__xludf.DUMMYFUNCTION("""COMPUTED_VALUE"""),20.24)</f>
        <v>20.24</v>
      </c>
      <c r="D868" s="1">
        <f>IFERROR(__xludf.DUMMYFUNCTION("""COMPUTED_VALUE"""),19.69)</f>
        <v>19.69</v>
      </c>
      <c r="E868" s="1">
        <f>IFERROR(__xludf.DUMMYFUNCTION("""COMPUTED_VALUE"""),20.19)</f>
        <v>20.19</v>
      </c>
      <c r="F868" s="1">
        <f>IFERROR(__xludf.DUMMYFUNCTION("""COMPUTED_VALUE"""),130103.0)</f>
        <v>130103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IFERROR(__xludf.DUMMYFUNCTION("""COMPUTED_VALUE"""),20.1)</f>
        <v>20.1</v>
      </c>
      <c r="C869" s="1">
        <f>IFERROR(__xludf.DUMMYFUNCTION("""COMPUTED_VALUE"""),20.19)</f>
        <v>20.19</v>
      </c>
      <c r="D869" s="1">
        <f>IFERROR(__xludf.DUMMYFUNCTION("""COMPUTED_VALUE"""),19.56)</f>
        <v>19.56</v>
      </c>
      <c r="E869" s="1">
        <f>IFERROR(__xludf.DUMMYFUNCTION("""COMPUTED_VALUE"""),19.61)</f>
        <v>19.61</v>
      </c>
      <c r="F869" s="1">
        <f>IFERROR(__xludf.DUMMYFUNCTION("""COMPUTED_VALUE"""),165817.0)</f>
        <v>165817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IFERROR(__xludf.DUMMYFUNCTION("""COMPUTED_VALUE"""),19.83)</f>
        <v>19.83</v>
      </c>
      <c r="C870" s="1">
        <f>IFERROR(__xludf.DUMMYFUNCTION("""COMPUTED_VALUE"""),19.87)</f>
        <v>19.87</v>
      </c>
      <c r="D870" s="1">
        <f>IFERROR(__xludf.DUMMYFUNCTION("""COMPUTED_VALUE"""),19.4)</f>
        <v>19.4</v>
      </c>
      <c r="E870" s="1">
        <f>IFERROR(__xludf.DUMMYFUNCTION("""COMPUTED_VALUE"""),19.59)</f>
        <v>19.59</v>
      </c>
      <c r="F870" s="1">
        <f>IFERROR(__xludf.DUMMYFUNCTION("""COMPUTED_VALUE"""),225152.0)</f>
        <v>225152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IFERROR(__xludf.DUMMYFUNCTION("""COMPUTED_VALUE"""),19.67)</f>
        <v>19.67</v>
      </c>
      <c r="C871" s="1">
        <f>IFERROR(__xludf.DUMMYFUNCTION("""COMPUTED_VALUE"""),20.05)</f>
        <v>20.05</v>
      </c>
      <c r="D871" s="1">
        <f>IFERROR(__xludf.DUMMYFUNCTION("""COMPUTED_VALUE"""),19.3)</f>
        <v>19.3</v>
      </c>
      <c r="E871" s="1">
        <f>IFERROR(__xludf.DUMMYFUNCTION("""COMPUTED_VALUE"""),19.98)</f>
        <v>19.98</v>
      </c>
      <c r="F871" s="1">
        <f>IFERROR(__xludf.DUMMYFUNCTION("""COMPUTED_VALUE"""),284053.0)</f>
        <v>284053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IFERROR(__xludf.DUMMYFUNCTION("""COMPUTED_VALUE"""),19.96)</f>
        <v>19.96</v>
      </c>
      <c r="C872" s="1">
        <f>IFERROR(__xludf.DUMMYFUNCTION("""COMPUTED_VALUE"""),20.0)</f>
        <v>20</v>
      </c>
      <c r="D872" s="1">
        <f>IFERROR(__xludf.DUMMYFUNCTION("""COMPUTED_VALUE"""),19.55)</f>
        <v>19.55</v>
      </c>
      <c r="E872" s="1">
        <f>IFERROR(__xludf.DUMMYFUNCTION("""COMPUTED_VALUE"""),19.74)</f>
        <v>19.74</v>
      </c>
      <c r="F872" s="1">
        <f>IFERROR(__xludf.DUMMYFUNCTION("""COMPUTED_VALUE"""),179117.0)</f>
        <v>179117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IFERROR(__xludf.DUMMYFUNCTION("""COMPUTED_VALUE"""),19.4)</f>
        <v>19.4</v>
      </c>
      <c r="C873" s="1">
        <f>IFERROR(__xludf.DUMMYFUNCTION("""COMPUTED_VALUE"""),19.92)</f>
        <v>19.92</v>
      </c>
      <c r="D873" s="1">
        <f>IFERROR(__xludf.DUMMYFUNCTION("""COMPUTED_VALUE"""),19.4)</f>
        <v>19.4</v>
      </c>
      <c r="E873" s="1">
        <f>IFERROR(__xludf.DUMMYFUNCTION("""COMPUTED_VALUE"""),19.49)</f>
        <v>19.49</v>
      </c>
      <c r="F873" s="1">
        <f>IFERROR(__xludf.DUMMYFUNCTION("""COMPUTED_VALUE"""),222629.0)</f>
        <v>222629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IFERROR(__xludf.DUMMYFUNCTION("""COMPUTED_VALUE"""),19.6)</f>
        <v>19.6</v>
      </c>
      <c r="C874" s="1">
        <f>IFERROR(__xludf.DUMMYFUNCTION("""COMPUTED_VALUE"""),19.89)</f>
        <v>19.89</v>
      </c>
      <c r="D874" s="1">
        <f>IFERROR(__xludf.DUMMYFUNCTION("""COMPUTED_VALUE"""),19.37)</f>
        <v>19.37</v>
      </c>
      <c r="E874" s="1">
        <f>IFERROR(__xludf.DUMMYFUNCTION("""COMPUTED_VALUE"""),19.71)</f>
        <v>19.71</v>
      </c>
      <c r="F874" s="1">
        <f>IFERROR(__xludf.DUMMYFUNCTION("""COMPUTED_VALUE"""),1318680.0)</f>
        <v>1318680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IFERROR(__xludf.DUMMYFUNCTION("""COMPUTED_VALUE"""),19.51)</f>
        <v>19.51</v>
      </c>
      <c r="C875" s="1">
        <f>IFERROR(__xludf.DUMMYFUNCTION("""COMPUTED_VALUE"""),19.8)</f>
        <v>19.8</v>
      </c>
      <c r="D875" s="1">
        <f>IFERROR(__xludf.DUMMYFUNCTION("""COMPUTED_VALUE"""),19.44)</f>
        <v>19.44</v>
      </c>
      <c r="E875" s="1">
        <f>IFERROR(__xludf.DUMMYFUNCTION("""COMPUTED_VALUE"""),19.44)</f>
        <v>19.44</v>
      </c>
      <c r="F875" s="1">
        <f>IFERROR(__xludf.DUMMYFUNCTION("""COMPUTED_VALUE"""),277718.0)</f>
        <v>277718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IFERROR(__xludf.DUMMYFUNCTION("""COMPUTED_VALUE"""),19.65)</f>
        <v>19.65</v>
      </c>
      <c r="C876" s="1">
        <f>IFERROR(__xludf.DUMMYFUNCTION("""COMPUTED_VALUE"""),20.05)</f>
        <v>20.05</v>
      </c>
      <c r="D876" s="1">
        <f>IFERROR(__xludf.DUMMYFUNCTION("""COMPUTED_VALUE"""),19.28)</f>
        <v>19.28</v>
      </c>
      <c r="E876" s="1">
        <f>IFERROR(__xludf.DUMMYFUNCTION("""COMPUTED_VALUE"""),19.98)</f>
        <v>19.98</v>
      </c>
      <c r="F876" s="1">
        <f>IFERROR(__xludf.DUMMYFUNCTION("""COMPUTED_VALUE"""),311216.0)</f>
        <v>311216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IFERROR(__xludf.DUMMYFUNCTION("""COMPUTED_VALUE"""),20.17)</f>
        <v>20.17</v>
      </c>
      <c r="C877" s="1">
        <f>IFERROR(__xludf.DUMMYFUNCTION("""COMPUTED_VALUE"""),20.24)</f>
        <v>20.24</v>
      </c>
      <c r="D877" s="1">
        <f>IFERROR(__xludf.DUMMYFUNCTION("""COMPUTED_VALUE"""),19.74)</f>
        <v>19.74</v>
      </c>
      <c r="E877" s="1">
        <f>IFERROR(__xludf.DUMMYFUNCTION("""COMPUTED_VALUE"""),19.93)</f>
        <v>19.93</v>
      </c>
      <c r="F877" s="1">
        <f>IFERROR(__xludf.DUMMYFUNCTION("""COMPUTED_VALUE"""),208796.0)</f>
        <v>208796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IFERROR(__xludf.DUMMYFUNCTION("""COMPUTED_VALUE"""),20.03)</f>
        <v>20.03</v>
      </c>
      <c r="C878" s="1">
        <f>IFERROR(__xludf.DUMMYFUNCTION("""COMPUTED_VALUE"""),20.49)</f>
        <v>20.49</v>
      </c>
      <c r="D878" s="1">
        <f>IFERROR(__xludf.DUMMYFUNCTION("""COMPUTED_VALUE"""),20.03)</f>
        <v>20.03</v>
      </c>
      <c r="E878" s="1">
        <f>IFERROR(__xludf.DUMMYFUNCTION("""COMPUTED_VALUE"""),20.46)</f>
        <v>20.46</v>
      </c>
      <c r="F878" s="1">
        <f>IFERROR(__xludf.DUMMYFUNCTION("""COMPUTED_VALUE"""),198094.0)</f>
        <v>198094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IFERROR(__xludf.DUMMYFUNCTION("""COMPUTED_VALUE"""),20.38)</f>
        <v>20.38</v>
      </c>
      <c r="C879" s="1">
        <f>IFERROR(__xludf.DUMMYFUNCTION("""COMPUTED_VALUE"""),20.5)</f>
        <v>20.5</v>
      </c>
      <c r="D879" s="1">
        <f>IFERROR(__xludf.DUMMYFUNCTION("""COMPUTED_VALUE"""),20.18)</f>
        <v>20.18</v>
      </c>
      <c r="E879" s="1">
        <f>IFERROR(__xludf.DUMMYFUNCTION("""COMPUTED_VALUE"""),20.35)</f>
        <v>20.35</v>
      </c>
      <c r="F879" s="1">
        <f>IFERROR(__xludf.DUMMYFUNCTION("""COMPUTED_VALUE"""),479047.0)</f>
        <v>479047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IFERROR(__xludf.DUMMYFUNCTION("""COMPUTED_VALUE"""),20.41)</f>
        <v>20.41</v>
      </c>
      <c r="C880" s="1">
        <f>IFERROR(__xludf.DUMMYFUNCTION("""COMPUTED_VALUE"""),21.27)</f>
        <v>21.27</v>
      </c>
      <c r="D880" s="1">
        <f>IFERROR(__xludf.DUMMYFUNCTION("""COMPUTED_VALUE"""),20.41)</f>
        <v>20.41</v>
      </c>
      <c r="E880" s="1">
        <f>IFERROR(__xludf.DUMMYFUNCTION("""COMPUTED_VALUE"""),21.05)</f>
        <v>21.05</v>
      </c>
      <c r="F880" s="1">
        <f>IFERROR(__xludf.DUMMYFUNCTION("""COMPUTED_VALUE"""),261637.0)</f>
        <v>261637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IFERROR(__xludf.DUMMYFUNCTION("""COMPUTED_VALUE"""),21.0)</f>
        <v>21</v>
      </c>
      <c r="C881" s="1">
        <f>IFERROR(__xludf.DUMMYFUNCTION("""COMPUTED_VALUE"""),21.57)</f>
        <v>21.57</v>
      </c>
      <c r="D881" s="1">
        <f>IFERROR(__xludf.DUMMYFUNCTION("""COMPUTED_VALUE"""),20.88)</f>
        <v>20.88</v>
      </c>
      <c r="E881" s="1">
        <f>IFERROR(__xludf.DUMMYFUNCTION("""COMPUTED_VALUE"""),21.5)</f>
        <v>21.5</v>
      </c>
      <c r="F881" s="1">
        <f>IFERROR(__xludf.DUMMYFUNCTION("""COMPUTED_VALUE"""),275741.0)</f>
        <v>275741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IFERROR(__xludf.DUMMYFUNCTION("""COMPUTED_VALUE"""),21.44)</f>
        <v>21.44</v>
      </c>
      <c r="C882" s="1">
        <f>IFERROR(__xludf.DUMMYFUNCTION("""COMPUTED_VALUE"""),21.92)</f>
        <v>21.92</v>
      </c>
      <c r="D882" s="1">
        <f>IFERROR(__xludf.DUMMYFUNCTION("""COMPUTED_VALUE"""),21.2)</f>
        <v>21.2</v>
      </c>
      <c r="E882" s="1">
        <f>IFERROR(__xludf.DUMMYFUNCTION("""COMPUTED_VALUE"""),21.78)</f>
        <v>21.78</v>
      </c>
      <c r="F882" s="1">
        <f>IFERROR(__xludf.DUMMYFUNCTION("""COMPUTED_VALUE"""),171258.0)</f>
        <v>171258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IFERROR(__xludf.DUMMYFUNCTION("""COMPUTED_VALUE"""),22.0)</f>
        <v>22</v>
      </c>
      <c r="C883" s="1">
        <f>IFERROR(__xludf.DUMMYFUNCTION("""COMPUTED_VALUE"""),22.55)</f>
        <v>22.55</v>
      </c>
      <c r="D883" s="1">
        <f>IFERROR(__xludf.DUMMYFUNCTION("""COMPUTED_VALUE"""),21.93)</f>
        <v>21.93</v>
      </c>
      <c r="E883" s="1">
        <f>IFERROR(__xludf.DUMMYFUNCTION("""COMPUTED_VALUE"""),22.53)</f>
        <v>22.53</v>
      </c>
      <c r="F883" s="1">
        <f>IFERROR(__xludf.DUMMYFUNCTION("""COMPUTED_VALUE"""),243697.0)</f>
        <v>243697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IFERROR(__xludf.DUMMYFUNCTION("""COMPUTED_VALUE"""),22.58)</f>
        <v>22.58</v>
      </c>
      <c r="C884" s="1">
        <f>IFERROR(__xludf.DUMMYFUNCTION("""COMPUTED_VALUE"""),22.75)</f>
        <v>22.75</v>
      </c>
      <c r="D884" s="1">
        <f>IFERROR(__xludf.DUMMYFUNCTION("""COMPUTED_VALUE"""),22.44)</f>
        <v>22.44</v>
      </c>
      <c r="E884" s="1">
        <f>IFERROR(__xludf.DUMMYFUNCTION("""COMPUTED_VALUE"""),22.46)</f>
        <v>22.46</v>
      </c>
      <c r="F884" s="1">
        <f>IFERROR(__xludf.DUMMYFUNCTION("""COMPUTED_VALUE"""),213880.0)</f>
        <v>213880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IFERROR(__xludf.DUMMYFUNCTION("""COMPUTED_VALUE"""),22.67)</f>
        <v>22.67</v>
      </c>
      <c r="C885" s="1">
        <f>IFERROR(__xludf.DUMMYFUNCTION("""COMPUTED_VALUE"""),22.81)</f>
        <v>22.81</v>
      </c>
      <c r="D885" s="1">
        <f>IFERROR(__xludf.DUMMYFUNCTION("""COMPUTED_VALUE"""),22.37)</f>
        <v>22.37</v>
      </c>
      <c r="E885" s="1">
        <f>IFERROR(__xludf.DUMMYFUNCTION("""COMPUTED_VALUE"""),22.8)</f>
        <v>22.8</v>
      </c>
      <c r="F885" s="1">
        <f>IFERROR(__xludf.DUMMYFUNCTION("""COMPUTED_VALUE"""),227973.0)</f>
        <v>227973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IFERROR(__xludf.DUMMYFUNCTION("""COMPUTED_VALUE"""),22.82)</f>
        <v>22.82</v>
      </c>
      <c r="C886" s="1">
        <f>IFERROR(__xludf.DUMMYFUNCTION("""COMPUTED_VALUE"""),22.91)</f>
        <v>22.91</v>
      </c>
      <c r="D886" s="1">
        <f>IFERROR(__xludf.DUMMYFUNCTION("""COMPUTED_VALUE"""),22.63)</f>
        <v>22.63</v>
      </c>
      <c r="E886" s="1">
        <f>IFERROR(__xludf.DUMMYFUNCTION("""COMPUTED_VALUE"""),22.69)</f>
        <v>22.69</v>
      </c>
      <c r="F886" s="1">
        <f>IFERROR(__xludf.DUMMYFUNCTION("""COMPUTED_VALUE"""),183323.0)</f>
        <v>183323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IFERROR(__xludf.DUMMYFUNCTION("""COMPUTED_VALUE"""),22.98)</f>
        <v>22.98</v>
      </c>
      <c r="C887" s="1">
        <f>IFERROR(__xludf.DUMMYFUNCTION("""COMPUTED_VALUE"""),22.98)</f>
        <v>22.98</v>
      </c>
      <c r="D887" s="1">
        <f>IFERROR(__xludf.DUMMYFUNCTION("""COMPUTED_VALUE"""),22.42)</f>
        <v>22.42</v>
      </c>
      <c r="E887" s="1">
        <f>IFERROR(__xludf.DUMMYFUNCTION("""COMPUTED_VALUE"""),22.47)</f>
        <v>22.47</v>
      </c>
      <c r="F887" s="1">
        <f>IFERROR(__xludf.DUMMYFUNCTION("""COMPUTED_VALUE"""),249990.0)</f>
        <v>249990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IFERROR(__xludf.DUMMYFUNCTION("""COMPUTED_VALUE"""),22.5)</f>
        <v>22.5</v>
      </c>
      <c r="C888" s="1">
        <f>IFERROR(__xludf.DUMMYFUNCTION("""COMPUTED_VALUE"""),22.86)</f>
        <v>22.86</v>
      </c>
      <c r="D888" s="1">
        <f>IFERROR(__xludf.DUMMYFUNCTION("""COMPUTED_VALUE"""),22.44)</f>
        <v>22.44</v>
      </c>
      <c r="E888" s="1">
        <f>IFERROR(__xludf.DUMMYFUNCTION("""COMPUTED_VALUE"""),22.77)</f>
        <v>22.77</v>
      </c>
      <c r="F888" s="1">
        <f>IFERROR(__xludf.DUMMYFUNCTION("""COMPUTED_VALUE"""),122733.0)</f>
        <v>122733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IFERROR(__xludf.DUMMYFUNCTION("""COMPUTED_VALUE"""),22.85)</f>
        <v>22.85</v>
      </c>
      <c r="C889" s="1">
        <f>IFERROR(__xludf.DUMMYFUNCTION("""COMPUTED_VALUE"""),23.07)</f>
        <v>23.07</v>
      </c>
      <c r="D889" s="1">
        <f>IFERROR(__xludf.DUMMYFUNCTION("""COMPUTED_VALUE"""),22.79)</f>
        <v>22.79</v>
      </c>
      <c r="E889" s="1">
        <f>IFERROR(__xludf.DUMMYFUNCTION("""COMPUTED_VALUE"""),22.99)</f>
        <v>22.99</v>
      </c>
      <c r="F889" s="1">
        <f>IFERROR(__xludf.DUMMYFUNCTION("""COMPUTED_VALUE"""),230939.0)</f>
        <v>230939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IFERROR(__xludf.DUMMYFUNCTION("""COMPUTED_VALUE"""),23.07)</f>
        <v>23.07</v>
      </c>
      <c r="C890" s="1">
        <f>IFERROR(__xludf.DUMMYFUNCTION("""COMPUTED_VALUE"""),23.11)</f>
        <v>23.11</v>
      </c>
      <c r="D890" s="1">
        <f>IFERROR(__xludf.DUMMYFUNCTION("""COMPUTED_VALUE"""),22.22)</f>
        <v>22.22</v>
      </c>
      <c r="E890" s="1">
        <f>IFERROR(__xludf.DUMMYFUNCTION("""COMPUTED_VALUE"""),22.75)</f>
        <v>22.75</v>
      </c>
      <c r="F890" s="1">
        <f>IFERROR(__xludf.DUMMYFUNCTION("""COMPUTED_VALUE"""),177714.0)</f>
        <v>177714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IFERROR(__xludf.DUMMYFUNCTION("""COMPUTED_VALUE"""),22.95)</f>
        <v>22.95</v>
      </c>
      <c r="C891" s="1">
        <f>IFERROR(__xludf.DUMMYFUNCTION("""COMPUTED_VALUE"""),22.95)</f>
        <v>22.95</v>
      </c>
      <c r="D891" s="1">
        <f>IFERROR(__xludf.DUMMYFUNCTION("""COMPUTED_VALUE"""),22.56)</f>
        <v>22.56</v>
      </c>
      <c r="E891" s="1">
        <f>IFERROR(__xludf.DUMMYFUNCTION("""COMPUTED_VALUE"""),22.74)</f>
        <v>22.74</v>
      </c>
      <c r="F891" s="1">
        <f>IFERROR(__xludf.DUMMYFUNCTION("""COMPUTED_VALUE"""),194165.0)</f>
        <v>194165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IFERROR(__xludf.DUMMYFUNCTION("""COMPUTED_VALUE"""),22.75)</f>
        <v>22.75</v>
      </c>
      <c r="C892" s="1">
        <f>IFERROR(__xludf.DUMMYFUNCTION("""COMPUTED_VALUE"""),23.1)</f>
        <v>23.1</v>
      </c>
      <c r="D892" s="1">
        <f>IFERROR(__xludf.DUMMYFUNCTION("""COMPUTED_VALUE"""),22.44)</f>
        <v>22.44</v>
      </c>
      <c r="E892" s="1">
        <f>IFERROR(__xludf.DUMMYFUNCTION("""COMPUTED_VALUE"""),23.06)</f>
        <v>23.06</v>
      </c>
      <c r="F892" s="1">
        <f>IFERROR(__xludf.DUMMYFUNCTION("""COMPUTED_VALUE"""),347977.0)</f>
        <v>347977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IFERROR(__xludf.DUMMYFUNCTION("""COMPUTED_VALUE"""),23.05)</f>
        <v>23.05</v>
      </c>
      <c r="C893" s="1">
        <f>IFERROR(__xludf.DUMMYFUNCTION("""COMPUTED_VALUE"""),23.22)</f>
        <v>23.22</v>
      </c>
      <c r="D893" s="1">
        <f>IFERROR(__xludf.DUMMYFUNCTION("""COMPUTED_VALUE"""),22.83)</f>
        <v>22.83</v>
      </c>
      <c r="E893" s="1">
        <f>IFERROR(__xludf.DUMMYFUNCTION("""COMPUTED_VALUE"""),23.15)</f>
        <v>23.15</v>
      </c>
      <c r="F893" s="1">
        <f>IFERROR(__xludf.DUMMYFUNCTION("""COMPUTED_VALUE"""),279490.0)</f>
        <v>279490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IFERROR(__xludf.DUMMYFUNCTION("""COMPUTED_VALUE"""),23.03)</f>
        <v>23.03</v>
      </c>
      <c r="C894" s="1">
        <f>IFERROR(__xludf.DUMMYFUNCTION("""COMPUTED_VALUE"""),23.88)</f>
        <v>23.88</v>
      </c>
      <c r="D894" s="1">
        <f>IFERROR(__xludf.DUMMYFUNCTION("""COMPUTED_VALUE"""),23.03)</f>
        <v>23.03</v>
      </c>
      <c r="E894" s="1">
        <f>IFERROR(__xludf.DUMMYFUNCTION("""COMPUTED_VALUE"""),23.79)</f>
        <v>23.79</v>
      </c>
      <c r="F894" s="1">
        <f>IFERROR(__xludf.DUMMYFUNCTION("""COMPUTED_VALUE"""),286913.0)</f>
        <v>286913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IFERROR(__xludf.DUMMYFUNCTION("""COMPUTED_VALUE"""),23.96)</f>
        <v>23.96</v>
      </c>
      <c r="C895" s="1">
        <f>IFERROR(__xludf.DUMMYFUNCTION("""COMPUTED_VALUE"""),24.14)</f>
        <v>24.14</v>
      </c>
      <c r="D895" s="1">
        <f>IFERROR(__xludf.DUMMYFUNCTION("""COMPUTED_VALUE"""),23.48)</f>
        <v>23.48</v>
      </c>
      <c r="E895" s="1">
        <f>IFERROR(__xludf.DUMMYFUNCTION("""COMPUTED_VALUE"""),24.12)</f>
        <v>24.12</v>
      </c>
      <c r="F895" s="1">
        <f>IFERROR(__xludf.DUMMYFUNCTION("""COMPUTED_VALUE"""),317475.0)</f>
        <v>317475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IFERROR(__xludf.DUMMYFUNCTION("""COMPUTED_VALUE"""),24.3)</f>
        <v>24.3</v>
      </c>
      <c r="C896" s="1">
        <f>IFERROR(__xludf.DUMMYFUNCTION("""COMPUTED_VALUE"""),24.37)</f>
        <v>24.37</v>
      </c>
      <c r="D896" s="1">
        <f>IFERROR(__xludf.DUMMYFUNCTION("""COMPUTED_VALUE"""),24.0)</f>
        <v>24</v>
      </c>
      <c r="E896" s="1">
        <f>IFERROR(__xludf.DUMMYFUNCTION("""COMPUTED_VALUE"""),24.08)</f>
        <v>24.08</v>
      </c>
      <c r="F896" s="1">
        <f>IFERROR(__xludf.DUMMYFUNCTION("""COMPUTED_VALUE"""),275963.0)</f>
        <v>275963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IFERROR(__xludf.DUMMYFUNCTION("""COMPUTED_VALUE"""),23.95)</f>
        <v>23.95</v>
      </c>
      <c r="C897" s="1">
        <f>IFERROR(__xludf.DUMMYFUNCTION("""COMPUTED_VALUE"""),24.16)</f>
        <v>24.16</v>
      </c>
      <c r="D897" s="1">
        <f>IFERROR(__xludf.DUMMYFUNCTION("""COMPUTED_VALUE"""),23.86)</f>
        <v>23.86</v>
      </c>
      <c r="E897" s="1">
        <f>IFERROR(__xludf.DUMMYFUNCTION("""COMPUTED_VALUE"""),24.0)</f>
        <v>24</v>
      </c>
      <c r="F897" s="1">
        <f>IFERROR(__xludf.DUMMYFUNCTION("""COMPUTED_VALUE"""),520704.0)</f>
        <v>520704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IFERROR(__xludf.DUMMYFUNCTION("""COMPUTED_VALUE"""),23.9)</f>
        <v>23.9</v>
      </c>
      <c r="C898" s="1">
        <f>IFERROR(__xludf.DUMMYFUNCTION("""COMPUTED_VALUE"""),24.13)</f>
        <v>24.13</v>
      </c>
      <c r="D898" s="1">
        <f>IFERROR(__xludf.DUMMYFUNCTION("""COMPUTED_VALUE"""),23.78)</f>
        <v>23.78</v>
      </c>
      <c r="E898" s="1">
        <f>IFERROR(__xludf.DUMMYFUNCTION("""COMPUTED_VALUE"""),23.95)</f>
        <v>23.95</v>
      </c>
      <c r="F898" s="1">
        <f>IFERROR(__xludf.DUMMYFUNCTION("""COMPUTED_VALUE"""),179456.0)</f>
        <v>179456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IFERROR(__xludf.DUMMYFUNCTION("""COMPUTED_VALUE"""),23.89)</f>
        <v>23.89</v>
      </c>
      <c r="C899" s="1">
        <f>IFERROR(__xludf.DUMMYFUNCTION("""COMPUTED_VALUE"""),23.97)</f>
        <v>23.97</v>
      </c>
      <c r="D899" s="1">
        <f>IFERROR(__xludf.DUMMYFUNCTION("""COMPUTED_VALUE"""),23.58)</f>
        <v>23.58</v>
      </c>
      <c r="E899" s="1">
        <f>IFERROR(__xludf.DUMMYFUNCTION("""COMPUTED_VALUE"""),23.62)</f>
        <v>23.62</v>
      </c>
      <c r="F899" s="1">
        <f>IFERROR(__xludf.DUMMYFUNCTION("""COMPUTED_VALUE"""),251718.0)</f>
        <v>251718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IFERROR(__xludf.DUMMYFUNCTION("""COMPUTED_VALUE"""),23.65)</f>
        <v>23.65</v>
      </c>
      <c r="C900" s="1">
        <f>IFERROR(__xludf.DUMMYFUNCTION("""COMPUTED_VALUE"""),23.89)</f>
        <v>23.89</v>
      </c>
      <c r="D900" s="1">
        <f>IFERROR(__xludf.DUMMYFUNCTION("""COMPUTED_VALUE"""),23.52)</f>
        <v>23.52</v>
      </c>
      <c r="E900" s="1">
        <f>IFERROR(__xludf.DUMMYFUNCTION("""COMPUTED_VALUE"""),23.62)</f>
        <v>23.62</v>
      </c>
      <c r="F900" s="1">
        <f>IFERROR(__xludf.DUMMYFUNCTION("""COMPUTED_VALUE"""),214643.0)</f>
        <v>214643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IFERROR(__xludf.DUMMYFUNCTION("""COMPUTED_VALUE"""),23.66)</f>
        <v>23.66</v>
      </c>
      <c r="C901" s="1">
        <f>IFERROR(__xludf.DUMMYFUNCTION("""COMPUTED_VALUE"""),24.12)</f>
        <v>24.12</v>
      </c>
      <c r="D901" s="1">
        <f>IFERROR(__xludf.DUMMYFUNCTION("""COMPUTED_VALUE"""),23.63)</f>
        <v>23.63</v>
      </c>
      <c r="E901" s="1">
        <f>IFERROR(__xludf.DUMMYFUNCTION("""COMPUTED_VALUE"""),23.76)</f>
        <v>23.76</v>
      </c>
      <c r="F901" s="1">
        <f>IFERROR(__xludf.DUMMYFUNCTION("""COMPUTED_VALUE"""),293555.0)</f>
        <v>293555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IFERROR(__xludf.DUMMYFUNCTION("""COMPUTED_VALUE"""),24.14)</f>
        <v>24.14</v>
      </c>
      <c r="C902" s="1">
        <f>IFERROR(__xludf.DUMMYFUNCTION("""COMPUTED_VALUE"""),24.84)</f>
        <v>24.84</v>
      </c>
      <c r="D902" s="1">
        <f>IFERROR(__xludf.DUMMYFUNCTION("""COMPUTED_VALUE"""),23.92)</f>
        <v>23.92</v>
      </c>
      <c r="E902" s="1">
        <f>IFERROR(__xludf.DUMMYFUNCTION("""COMPUTED_VALUE"""),24.66)</f>
        <v>24.66</v>
      </c>
      <c r="F902" s="1">
        <f>IFERROR(__xludf.DUMMYFUNCTION("""COMPUTED_VALUE"""),543576.0)</f>
        <v>543576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IFERROR(__xludf.DUMMYFUNCTION("""COMPUTED_VALUE"""),24.46)</f>
        <v>24.46</v>
      </c>
      <c r="C903" s="1">
        <f>IFERROR(__xludf.DUMMYFUNCTION("""COMPUTED_VALUE"""),24.79)</f>
        <v>24.79</v>
      </c>
      <c r="D903" s="1">
        <f>IFERROR(__xludf.DUMMYFUNCTION("""COMPUTED_VALUE"""),24.31)</f>
        <v>24.31</v>
      </c>
      <c r="E903" s="1">
        <f>IFERROR(__xludf.DUMMYFUNCTION("""COMPUTED_VALUE"""),24.68)</f>
        <v>24.68</v>
      </c>
      <c r="F903" s="1">
        <f>IFERROR(__xludf.DUMMYFUNCTION("""COMPUTED_VALUE"""),337411.0)</f>
        <v>337411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IFERROR(__xludf.DUMMYFUNCTION("""COMPUTED_VALUE"""),24.67)</f>
        <v>24.67</v>
      </c>
      <c r="C904" s="1">
        <f>IFERROR(__xludf.DUMMYFUNCTION("""COMPUTED_VALUE"""),24.85)</f>
        <v>24.85</v>
      </c>
      <c r="D904" s="1">
        <f>IFERROR(__xludf.DUMMYFUNCTION("""COMPUTED_VALUE"""),24.44)</f>
        <v>24.44</v>
      </c>
      <c r="E904" s="1">
        <f>IFERROR(__xludf.DUMMYFUNCTION("""COMPUTED_VALUE"""),24.67)</f>
        <v>24.67</v>
      </c>
      <c r="F904" s="1">
        <f>IFERROR(__xludf.DUMMYFUNCTION("""COMPUTED_VALUE"""),123596.0)</f>
        <v>123596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IFERROR(__xludf.DUMMYFUNCTION("""COMPUTED_VALUE"""),24.61)</f>
        <v>24.61</v>
      </c>
      <c r="C905" s="1">
        <f>IFERROR(__xludf.DUMMYFUNCTION("""COMPUTED_VALUE"""),24.64)</f>
        <v>24.64</v>
      </c>
      <c r="D905" s="1">
        <f>IFERROR(__xludf.DUMMYFUNCTION("""COMPUTED_VALUE"""),24.26)</f>
        <v>24.26</v>
      </c>
      <c r="E905" s="1">
        <f>IFERROR(__xludf.DUMMYFUNCTION("""COMPUTED_VALUE"""),24.38)</f>
        <v>24.38</v>
      </c>
      <c r="F905" s="1">
        <f>IFERROR(__xludf.DUMMYFUNCTION("""COMPUTED_VALUE"""),135480.0)</f>
        <v>135480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IFERROR(__xludf.DUMMYFUNCTION("""COMPUTED_VALUE"""),24.33)</f>
        <v>24.33</v>
      </c>
      <c r="C906" s="1">
        <f>IFERROR(__xludf.DUMMYFUNCTION("""COMPUTED_VALUE"""),24.4)</f>
        <v>24.4</v>
      </c>
      <c r="D906" s="1">
        <f>IFERROR(__xludf.DUMMYFUNCTION("""COMPUTED_VALUE"""),24.01)</f>
        <v>24.01</v>
      </c>
      <c r="E906" s="1">
        <f>IFERROR(__xludf.DUMMYFUNCTION("""COMPUTED_VALUE"""),24.14)</f>
        <v>24.14</v>
      </c>
      <c r="F906" s="1">
        <f>IFERROR(__xludf.DUMMYFUNCTION("""COMPUTED_VALUE"""),179296.0)</f>
        <v>179296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IFERROR(__xludf.DUMMYFUNCTION("""COMPUTED_VALUE"""),24.39)</f>
        <v>24.39</v>
      </c>
      <c r="C907" s="1">
        <f>IFERROR(__xludf.DUMMYFUNCTION("""COMPUTED_VALUE"""),24.56)</f>
        <v>24.56</v>
      </c>
      <c r="D907" s="1">
        <f>IFERROR(__xludf.DUMMYFUNCTION("""COMPUTED_VALUE"""),24.2)</f>
        <v>24.2</v>
      </c>
      <c r="E907" s="1">
        <f>IFERROR(__xludf.DUMMYFUNCTION("""COMPUTED_VALUE"""),24.27)</f>
        <v>24.27</v>
      </c>
      <c r="F907" s="1">
        <f>IFERROR(__xludf.DUMMYFUNCTION("""COMPUTED_VALUE"""),142099.0)</f>
        <v>142099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IFERROR(__xludf.DUMMYFUNCTION("""COMPUTED_VALUE"""),24.26)</f>
        <v>24.26</v>
      </c>
      <c r="C908" s="1">
        <f>IFERROR(__xludf.DUMMYFUNCTION("""COMPUTED_VALUE"""),24.58)</f>
        <v>24.58</v>
      </c>
      <c r="D908" s="1">
        <f>IFERROR(__xludf.DUMMYFUNCTION("""COMPUTED_VALUE"""),23.98)</f>
        <v>23.98</v>
      </c>
      <c r="E908" s="1">
        <f>IFERROR(__xludf.DUMMYFUNCTION("""COMPUTED_VALUE"""),24.0)</f>
        <v>24</v>
      </c>
      <c r="F908" s="1">
        <f>IFERROR(__xludf.DUMMYFUNCTION("""COMPUTED_VALUE"""),228313.0)</f>
        <v>228313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IFERROR(__xludf.DUMMYFUNCTION("""COMPUTED_VALUE"""),23.78)</f>
        <v>23.78</v>
      </c>
      <c r="C909" s="1">
        <f>IFERROR(__xludf.DUMMYFUNCTION("""COMPUTED_VALUE"""),24.37)</f>
        <v>24.37</v>
      </c>
      <c r="D909" s="1">
        <f>IFERROR(__xludf.DUMMYFUNCTION("""COMPUTED_VALUE"""),23.78)</f>
        <v>23.78</v>
      </c>
      <c r="E909" s="1">
        <f>IFERROR(__xludf.DUMMYFUNCTION("""COMPUTED_VALUE"""),24.36)</f>
        <v>24.36</v>
      </c>
      <c r="F909" s="1">
        <f>IFERROR(__xludf.DUMMYFUNCTION("""COMPUTED_VALUE"""),126612.0)</f>
        <v>126612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IFERROR(__xludf.DUMMYFUNCTION("""COMPUTED_VALUE"""),23.87)</f>
        <v>23.87</v>
      </c>
      <c r="C910" s="1">
        <f>IFERROR(__xludf.DUMMYFUNCTION("""COMPUTED_VALUE"""),24.11)</f>
        <v>24.11</v>
      </c>
      <c r="D910" s="1">
        <f>IFERROR(__xludf.DUMMYFUNCTION("""COMPUTED_VALUE"""),23.71)</f>
        <v>23.71</v>
      </c>
      <c r="E910" s="1">
        <f>IFERROR(__xludf.DUMMYFUNCTION("""COMPUTED_VALUE"""),23.88)</f>
        <v>23.88</v>
      </c>
      <c r="F910" s="1">
        <f>IFERROR(__xludf.DUMMYFUNCTION("""COMPUTED_VALUE"""),289944.0)</f>
        <v>289944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IFERROR(__xludf.DUMMYFUNCTION("""COMPUTED_VALUE"""),23.82)</f>
        <v>23.82</v>
      </c>
      <c r="C911" s="1">
        <f>IFERROR(__xludf.DUMMYFUNCTION("""COMPUTED_VALUE"""),24.11)</f>
        <v>24.11</v>
      </c>
      <c r="D911" s="1">
        <f>IFERROR(__xludf.DUMMYFUNCTION("""COMPUTED_VALUE"""),23.66)</f>
        <v>23.66</v>
      </c>
      <c r="E911" s="1">
        <f>IFERROR(__xludf.DUMMYFUNCTION("""COMPUTED_VALUE"""),23.73)</f>
        <v>23.73</v>
      </c>
      <c r="F911" s="1">
        <f>IFERROR(__xludf.DUMMYFUNCTION("""COMPUTED_VALUE"""),199388.0)</f>
        <v>199388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IFERROR(__xludf.DUMMYFUNCTION("""COMPUTED_VALUE"""),23.4)</f>
        <v>23.4</v>
      </c>
      <c r="C912" s="1">
        <f>IFERROR(__xludf.DUMMYFUNCTION("""COMPUTED_VALUE"""),23.65)</f>
        <v>23.65</v>
      </c>
      <c r="D912" s="1">
        <f>IFERROR(__xludf.DUMMYFUNCTION("""COMPUTED_VALUE"""),23.08)</f>
        <v>23.08</v>
      </c>
      <c r="E912" s="1">
        <f>IFERROR(__xludf.DUMMYFUNCTION("""COMPUTED_VALUE"""),23.22)</f>
        <v>23.22</v>
      </c>
      <c r="F912" s="1">
        <f>IFERROR(__xludf.DUMMYFUNCTION("""COMPUTED_VALUE"""),330867.0)</f>
        <v>330867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IFERROR(__xludf.DUMMYFUNCTION("""COMPUTED_VALUE"""),23.09)</f>
        <v>23.09</v>
      </c>
      <c r="C913" s="1">
        <f>IFERROR(__xludf.DUMMYFUNCTION("""COMPUTED_VALUE"""),23.67)</f>
        <v>23.67</v>
      </c>
      <c r="D913" s="1">
        <f>IFERROR(__xludf.DUMMYFUNCTION("""COMPUTED_VALUE"""),23.0)</f>
        <v>23</v>
      </c>
      <c r="E913" s="1">
        <f>IFERROR(__xludf.DUMMYFUNCTION("""COMPUTED_VALUE"""),23.44)</f>
        <v>23.44</v>
      </c>
      <c r="F913" s="1">
        <f>IFERROR(__xludf.DUMMYFUNCTION("""COMPUTED_VALUE"""),286827.0)</f>
        <v>286827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IFERROR(__xludf.DUMMYFUNCTION("""COMPUTED_VALUE"""),23.47)</f>
        <v>23.47</v>
      </c>
      <c r="C914" s="1">
        <f>IFERROR(__xludf.DUMMYFUNCTION("""COMPUTED_VALUE"""),23.61)</f>
        <v>23.61</v>
      </c>
      <c r="D914" s="1">
        <f>IFERROR(__xludf.DUMMYFUNCTION("""COMPUTED_VALUE"""),23.14)</f>
        <v>23.14</v>
      </c>
      <c r="E914" s="1">
        <f>IFERROR(__xludf.DUMMYFUNCTION("""COMPUTED_VALUE"""),23.15)</f>
        <v>23.15</v>
      </c>
      <c r="F914" s="1">
        <f>IFERROR(__xludf.DUMMYFUNCTION("""COMPUTED_VALUE"""),132699.0)</f>
        <v>132699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IFERROR(__xludf.DUMMYFUNCTION("""COMPUTED_VALUE"""),23.2)</f>
        <v>23.2</v>
      </c>
      <c r="C915" s="1">
        <f>IFERROR(__xludf.DUMMYFUNCTION("""COMPUTED_VALUE"""),23.78)</f>
        <v>23.78</v>
      </c>
      <c r="D915" s="1">
        <f>IFERROR(__xludf.DUMMYFUNCTION("""COMPUTED_VALUE"""),23.2)</f>
        <v>23.2</v>
      </c>
      <c r="E915" s="1">
        <f>IFERROR(__xludf.DUMMYFUNCTION("""COMPUTED_VALUE"""),23.76)</f>
        <v>23.76</v>
      </c>
      <c r="F915" s="1">
        <f>IFERROR(__xludf.DUMMYFUNCTION("""COMPUTED_VALUE"""),192973.0)</f>
        <v>192973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IFERROR(__xludf.DUMMYFUNCTION("""COMPUTED_VALUE"""),23.62)</f>
        <v>23.62</v>
      </c>
      <c r="C916" s="1">
        <f>IFERROR(__xludf.DUMMYFUNCTION("""COMPUTED_VALUE"""),23.89)</f>
        <v>23.89</v>
      </c>
      <c r="D916" s="1">
        <f>IFERROR(__xludf.DUMMYFUNCTION("""COMPUTED_VALUE"""),23.42)</f>
        <v>23.42</v>
      </c>
      <c r="E916" s="1">
        <f>IFERROR(__xludf.DUMMYFUNCTION("""COMPUTED_VALUE"""),23.54)</f>
        <v>23.54</v>
      </c>
      <c r="F916" s="1">
        <f>IFERROR(__xludf.DUMMYFUNCTION("""COMPUTED_VALUE"""),176514.0)</f>
        <v>176514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IFERROR(__xludf.DUMMYFUNCTION("""COMPUTED_VALUE"""),23.64)</f>
        <v>23.64</v>
      </c>
      <c r="C917" s="1">
        <f>IFERROR(__xludf.DUMMYFUNCTION("""COMPUTED_VALUE"""),24.15)</f>
        <v>24.15</v>
      </c>
      <c r="D917" s="1">
        <f>IFERROR(__xludf.DUMMYFUNCTION("""COMPUTED_VALUE"""),23.64)</f>
        <v>23.64</v>
      </c>
      <c r="E917" s="1">
        <f>IFERROR(__xludf.DUMMYFUNCTION("""COMPUTED_VALUE"""),23.94)</f>
        <v>23.94</v>
      </c>
      <c r="F917" s="1">
        <f>IFERROR(__xludf.DUMMYFUNCTION("""COMPUTED_VALUE"""),133914.0)</f>
        <v>133914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IFERROR(__xludf.DUMMYFUNCTION("""COMPUTED_VALUE"""),23.95)</f>
        <v>23.95</v>
      </c>
      <c r="C918" s="1">
        <f>IFERROR(__xludf.DUMMYFUNCTION("""COMPUTED_VALUE"""),24.05)</f>
        <v>24.05</v>
      </c>
      <c r="D918" s="1">
        <f>IFERROR(__xludf.DUMMYFUNCTION("""COMPUTED_VALUE"""),23.55)</f>
        <v>23.55</v>
      </c>
      <c r="E918" s="1">
        <f>IFERROR(__xludf.DUMMYFUNCTION("""COMPUTED_VALUE"""),23.83)</f>
        <v>23.83</v>
      </c>
      <c r="F918" s="1">
        <f>IFERROR(__xludf.DUMMYFUNCTION("""COMPUTED_VALUE"""),148271.0)</f>
        <v>148271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IFERROR(__xludf.DUMMYFUNCTION("""COMPUTED_VALUE"""),23.92)</f>
        <v>23.92</v>
      </c>
      <c r="C919" s="1">
        <f>IFERROR(__xludf.DUMMYFUNCTION("""COMPUTED_VALUE"""),23.98)</f>
        <v>23.98</v>
      </c>
      <c r="D919" s="1">
        <f>IFERROR(__xludf.DUMMYFUNCTION("""COMPUTED_VALUE"""),23.54)</f>
        <v>23.54</v>
      </c>
      <c r="E919" s="1">
        <f>IFERROR(__xludf.DUMMYFUNCTION("""COMPUTED_VALUE"""),23.58)</f>
        <v>23.58</v>
      </c>
      <c r="F919" s="1">
        <f>IFERROR(__xludf.DUMMYFUNCTION("""COMPUTED_VALUE"""),96576.0)</f>
        <v>96576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IFERROR(__xludf.DUMMYFUNCTION("""COMPUTED_VALUE"""),23.42)</f>
        <v>23.42</v>
      </c>
      <c r="C920" s="1">
        <f>IFERROR(__xludf.DUMMYFUNCTION("""COMPUTED_VALUE"""),23.42)</f>
        <v>23.42</v>
      </c>
      <c r="D920" s="1">
        <f>IFERROR(__xludf.DUMMYFUNCTION("""COMPUTED_VALUE"""),22.46)</f>
        <v>22.46</v>
      </c>
      <c r="E920" s="1">
        <f>IFERROR(__xludf.DUMMYFUNCTION("""COMPUTED_VALUE"""),22.46)</f>
        <v>22.46</v>
      </c>
      <c r="F920" s="1">
        <f>IFERROR(__xludf.DUMMYFUNCTION("""COMPUTED_VALUE"""),226053.0)</f>
        <v>226053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IFERROR(__xludf.DUMMYFUNCTION("""COMPUTED_VALUE"""),22.51)</f>
        <v>22.51</v>
      </c>
      <c r="C921" s="1">
        <f>IFERROR(__xludf.DUMMYFUNCTION("""COMPUTED_VALUE"""),22.93)</f>
        <v>22.93</v>
      </c>
      <c r="D921" s="1">
        <f>IFERROR(__xludf.DUMMYFUNCTION("""COMPUTED_VALUE"""),22.51)</f>
        <v>22.51</v>
      </c>
      <c r="E921" s="1">
        <f>IFERROR(__xludf.DUMMYFUNCTION("""COMPUTED_VALUE"""),22.67)</f>
        <v>22.67</v>
      </c>
      <c r="F921" s="1">
        <f>IFERROR(__xludf.DUMMYFUNCTION("""COMPUTED_VALUE"""),126451.0)</f>
        <v>126451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IFERROR(__xludf.DUMMYFUNCTION("""COMPUTED_VALUE"""),22.61)</f>
        <v>22.61</v>
      </c>
      <c r="C922" s="1">
        <f>IFERROR(__xludf.DUMMYFUNCTION("""COMPUTED_VALUE"""),23.01)</f>
        <v>23.01</v>
      </c>
      <c r="D922" s="1">
        <f>IFERROR(__xludf.DUMMYFUNCTION("""COMPUTED_VALUE"""),22.59)</f>
        <v>22.59</v>
      </c>
      <c r="E922" s="1">
        <f>IFERROR(__xludf.DUMMYFUNCTION("""COMPUTED_VALUE"""),22.8)</f>
        <v>22.8</v>
      </c>
      <c r="F922" s="1">
        <f>IFERROR(__xludf.DUMMYFUNCTION("""COMPUTED_VALUE"""),110778.0)</f>
        <v>110778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IFERROR(__xludf.DUMMYFUNCTION("""COMPUTED_VALUE"""),22.77)</f>
        <v>22.77</v>
      </c>
      <c r="C923" s="1">
        <f>IFERROR(__xludf.DUMMYFUNCTION("""COMPUTED_VALUE"""),22.86)</f>
        <v>22.86</v>
      </c>
      <c r="D923" s="1">
        <f>IFERROR(__xludf.DUMMYFUNCTION("""COMPUTED_VALUE"""),22.0)</f>
        <v>22</v>
      </c>
      <c r="E923" s="1">
        <f>IFERROR(__xludf.DUMMYFUNCTION("""COMPUTED_VALUE"""),22.02)</f>
        <v>22.02</v>
      </c>
      <c r="F923" s="1">
        <f>IFERROR(__xludf.DUMMYFUNCTION("""COMPUTED_VALUE"""),262972.0)</f>
        <v>262972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IFERROR(__xludf.DUMMYFUNCTION("""COMPUTED_VALUE"""),22.42)</f>
        <v>22.42</v>
      </c>
      <c r="C924" s="1">
        <f>IFERROR(__xludf.DUMMYFUNCTION("""COMPUTED_VALUE"""),22.75)</f>
        <v>22.75</v>
      </c>
      <c r="D924" s="1">
        <f>IFERROR(__xludf.DUMMYFUNCTION("""COMPUTED_VALUE"""),21.44)</f>
        <v>21.44</v>
      </c>
      <c r="E924" s="1">
        <f>IFERROR(__xludf.DUMMYFUNCTION("""COMPUTED_VALUE"""),21.79)</f>
        <v>21.79</v>
      </c>
      <c r="F924" s="1">
        <f>IFERROR(__xludf.DUMMYFUNCTION("""COMPUTED_VALUE"""),558027.0)</f>
        <v>558027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IFERROR(__xludf.DUMMYFUNCTION("""COMPUTED_VALUE"""),21.81)</f>
        <v>21.81</v>
      </c>
      <c r="C925" s="1">
        <f>IFERROR(__xludf.DUMMYFUNCTION("""COMPUTED_VALUE"""),22.27)</f>
        <v>22.27</v>
      </c>
      <c r="D925" s="1">
        <f>IFERROR(__xludf.DUMMYFUNCTION("""COMPUTED_VALUE"""),21.81)</f>
        <v>21.81</v>
      </c>
      <c r="E925" s="1">
        <f>IFERROR(__xludf.DUMMYFUNCTION("""COMPUTED_VALUE"""),22.01)</f>
        <v>22.01</v>
      </c>
      <c r="F925" s="1">
        <f>IFERROR(__xludf.DUMMYFUNCTION("""COMPUTED_VALUE"""),268620.0)</f>
        <v>268620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IFERROR(__xludf.DUMMYFUNCTION("""COMPUTED_VALUE"""),22.07)</f>
        <v>22.07</v>
      </c>
      <c r="C926" s="1">
        <f>IFERROR(__xludf.DUMMYFUNCTION("""COMPUTED_VALUE"""),22.34)</f>
        <v>22.34</v>
      </c>
      <c r="D926" s="1">
        <f>IFERROR(__xludf.DUMMYFUNCTION("""COMPUTED_VALUE"""),22.0)</f>
        <v>22</v>
      </c>
      <c r="E926" s="1">
        <f>IFERROR(__xludf.DUMMYFUNCTION("""COMPUTED_VALUE"""),22.24)</f>
        <v>22.24</v>
      </c>
      <c r="F926" s="1">
        <f>IFERROR(__xludf.DUMMYFUNCTION("""COMPUTED_VALUE"""),248465.0)</f>
        <v>248465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IFERROR(__xludf.DUMMYFUNCTION("""COMPUTED_VALUE"""),22.42)</f>
        <v>22.42</v>
      </c>
      <c r="C927" s="1">
        <f>IFERROR(__xludf.DUMMYFUNCTION("""COMPUTED_VALUE"""),22.42)</f>
        <v>22.42</v>
      </c>
      <c r="D927" s="1">
        <f>IFERROR(__xludf.DUMMYFUNCTION("""COMPUTED_VALUE"""),21.56)</f>
        <v>21.56</v>
      </c>
      <c r="E927" s="1">
        <f>IFERROR(__xludf.DUMMYFUNCTION("""COMPUTED_VALUE"""),22.01)</f>
        <v>22.01</v>
      </c>
      <c r="F927" s="1">
        <f>IFERROR(__xludf.DUMMYFUNCTION("""COMPUTED_VALUE"""),250869.0)</f>
        <v>250869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IFERROR(__xludf.DUMMYFUNCTION("""COMPUTED_VALUE"""),22.05)</f>
        <v>22.05</v>
      </c>
      <c r="C928" s="1">
        <f>IFERROR(__xludf.DUMMYFUNCTION("""COMPUTED_VALUE"""),22.34)</f>
        <v>22.34</v>
      </c>
      <c r="D928" s="1">
        <f>IFERROR(__xludf.DUMMYFUNCTION("""COMPUTED_VALUE"""),21.91)</f>
        <v>21.91</v>
      </c>
      <c r="E928" s="1">
        <f>IFERROR(__xludf.DUMMYFUNCTION("""COMPUTED_VALUE"""),22.29)</f>
        <v>22.29</v>
      </c>
      <c r="F928" s="1">
        <f>IFERROR(__xludf.DUMMYFUNCTION("""COMPUTED_VALUE"""),195531.0)</f>
        <v>195531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IFERROR(__xludf.DUMMYFUNCTION("""COMPUTED_VALUE"""),22.47)</f>
        <v>22.47</v>
      </c>
      <c r="C929" s="1">
        <f>IFERROR(__xludf.DUMMYFUNCTION("""COMPUTED_VALUE"""),22.75)</f>
        <v>22.75</v>
      </c>
      <c r="D929" s="1">
        <f>IFERROR(__xludf.DUMMYFUNCTION("""COMPUTED_VALUE"""),22.34)</f>
        <v>22.34</v>
      </c>
      <c r="E929" s="1">
        <f>IFERROR(__xludf.DUMMYFUNCTION("""COMPUTED_VALUE"""),22.75)</f>
        <v>22.75</v>
      </c>
      <c r="F929" s="1">
        <f>IFERROR(__xludf.DUMMYFUNCTION("""COMPUTED_VALUE"""),226812.0)</f>
        <v>226812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IFERROR(__xludf.DUMMYFUNCTION("""COMPUTED_VALUE"""),22.71)</f>
        <v>22.71</v>
      </c>
      <c r="C930" s="1">
        <f>IFERROR(__xludf.DUMMYFUNCTION("""COMPUTED_VALUE"""),22.8)</f>
        <v>22.8</v>
      </c>
      <c r="D930" s="1">
        <f>IFERROR(__xludf.DUMMYFUNCTION("""COMPUTED_VALUE"""),22.45)</f>
        <v>22.45</v>
      </c>
      <c r="E930" s="1">
        <f>IFERROR(__xludf.DUMMYFUNCTION("""COMPUTED_VALUE"""),22.6)</f>
        <v>22.6</v>
      </c>
      <c r="F930" s="1">
        <f>IFERROR(__xludf.DUMMYFUNCTION("""COMPUTED_VALUE"""),167372.0)</f>
        <v>167372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IFERROR(__xludf.DUMMYFUNCTION("""COMPUTED_VALUE"""),22.68)</f>
        <v>22.68</v>
      </c>
      <c r="C931" s="1">
        <f>IFERROR(__xludf.DUMMYFUNCTION("""COMPUTED_VALUE"""),22.68)</f>
        <v>22.68</v>
      </c>
      <c r="D931" s="1">
        <f>IFERROR(__xludf.DUMMYFUNCTION("""COMPUTED_VALUE"""),22.3)</f>
        <v>22.3</v>
      </c>
      <c r="E931" s="1">
        <f>IFERROR(__xludf.DUMMYFUNCTION("""COMPUTED_VALUE"""),22.33)</f>
        <v>22.33</v>
      </c>
      <c r="F931" s="1">
        <f>IFERROR(__xludf.DUMMYFUNCTION("""COMPUTED_VALUE"""),153598.0)</f>
        <v>153598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IFERROR(__xludf.DUMMYFUNCTION("""COMPUTED_VALUE"""),22.42)</f>
        <v>22.42</v>
      </c>
      <c r="C932" s="1">
        <f>IFERROR(__xludf.DUMMYFUNCTION("""COMPUTED_VALUE"""),22.46)</f>
        <v>22.46</v>
      </c>
      <c r="D932" s="1">
        <f>IFERROR(__xludf.DUMMYFUNCTION("""COMPUTED_VALUE"""),22.11)</f>
        <v>22.11</v>
      </c>
      <c r="E932" s="1">
        <f>IFERROR(__xludf.DUMMYFUNCTION("""COMPUTED_VALUE"""),22.4)</f>
        <v>22.4</v>
      </c>
      <c r="F932" s="1">
        <f>IFERROR(__xludf.DUMMYFUNCTION("""COMPUTED_VALUE"""),91041.0)</f>
        <v>91041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IFERROR(__xludf.DUMMYFUNCTION("""COMPUTED_VALUE"""),22.75)</f>
        <v>22.75</v>
      </c>
      <c r="C933" s="1">
        <f>IFERROR(__xludf.DUMMYFUNCTION("""COMPUTED_VALUE"""),22.75)</f>
        <v>22.75</v>
      </c>
      <c r="D933" s="1">
        <f>IFERROR(__xludf.DUMMYFUNCTION("""COMPUTED_VALUE"""),22.33)</f>
        <v>22.33</v>
      </c>
      <c r="E933" s="1">
        <f>IFERROR(__xludf.DUMMYFUNCTION("""COMPUTED_VALUE"""),22.47)</f>
        <v>22.47</v>
      </c>
      <c r="F933" s="1">
        <f>IFERROR(__xludf.DUMMYFUNCTION("""COMPUTED_VALUE"""),128771.0)</f>
        <v>128771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IFERROR(__xludf.DUMMYFUNCTION("""COMPUTED_VALUE"""),22.41)</f>
        <v>22.41</v>
      </c>
      <c r="C934" s="1">
        <f>IFERROR(__xludf.DUMMYFUNCTION("""COMPUTED_VALUE"""),23.12)</f>
        <v>23.12</v>
      </c>
      <c r="D934" s="1">
        <f>IFERROR(__xludf.DUMMYFUNCTION("""COMPUTED_VALUE"""),22.29)</f>
        <v>22.29</v>
      </c>
      <c r="E934" s="1">
        <f>IFERROR(__xludf.DUMMYFUNCTION("""COMPUTED_VALUE"""),23.11)</f>
        <v>23.11</v>
      </c>
      <c r="F934" s="1">
        <f>IFERROR(__xludf.DUMMYFUNCTION("""COMPUTED_VALUE"""),276337.0)</f>
        <v>276337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IFERROR(__xludf.DUMMYFUNCTION("""COMPUTED_VALUE"""),23.07)</f>
        <v>23.07</v>
      </c>
      <c r="C935" s="1">
        <f>IFERROR(__xludf.DUMMYFUNCTION("""COMPUTED_VALUE"""),23.5)</f>
        <v>23.5</v>
      </c>
      <c r="D935" s="1">
        <f>IFERROR(__xludf.DUMMYFUNCTION("""COMPUTED_VALUE"""),22.9)</f>
        <v>22.9</v>
      </c>
      <c r="E935" s="1">
        <f>IFERROR(__xludf.DUMMYFUNCTION("""COMPUTED_VALUE"""),23.02)</f>
        <v>23.02</v>
      </c>
      <c r="F935" s="1">
        <f>IFERROR(__xludf.DUMMYFUNCTION("""COMPUTED_VALUE"""),283301.0)</f>
        <v>283301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IFERROR(__xludf.DUMMYFUNCTION("""COMPUTED_VALUE"""),23.14)</f>
        <v>23.14</v>
      </c>
      <c r="C936" s="1">
        <f>IFERROR(__xludf.DUMMYFUNCTION("""COMPUTED_VALUE"""),23.14)</f>
        <v>23.14</v>
      </c>
      <c r="D936" s="1">
        <f>IFERROR(__xludf.DUMMYFUNCTION("""COMPUTED_VALUE"""),22.14)</f>
        <v>22.14</v>
      </c>
      <c r="E936" s="1">
        <f>IFERROR(__xludf.DUMMYFUNCTION("""COMPUTED_VALUE"""),22.41)</f>
        <v>22.41</v>
      </c>
      <c r="F936" s="1">
        <f>IFERROR(__xludf.DUMMYFUNCTION("""COMPUTED_VALUE"""),156370.0)</f>
        <v>156370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IFERROR(__xludf.DUMMYFUNCTION("""COMPUTED_VALUE"""),22.46)</f>
        <v>22.46</v>
      </c>
      <c r="C937" s="1">
        <f>IFERROR(__xludf.DUMMYFUNCTION("""COMPUTED_VALUE"""),22.89)</f>
        <v>22.89</v>
      </c>
      <c r="D937" s="1">
        <f>IFERROR(__xludf.DUMMYFUNCTION("""COMPUTED_VALUE"""),22.41)</f>
        <v>22.41</v>
      </c>
      <c r="E937" s="1">
        <f>IFERROR(__xludf.DUMMYFUNCTION("""COMPUTED_VALUE"""),22.71)</f>
        <v>22.71</v>
      </c>
      <c r="F937" s="1">
        <f>IFERROR(__xludf.DUMMYFUNCTION("""COMPUTED_VALUE"""),611224.0)</f>
        <v>611224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IFERROR(__xludf.DUMMYFUNCTION("""COMPUTED_VALUE"""),22.64)</f>
        <v>22.64</v>
      </c>
      <c r="C938" s="1">
        <f>IFERROR(__xludf.DUMMYFUNCTION("""COMPUTED_VALUE"""),22.7)</f>
        <v>22.7</v>
      </c>
      <c r="D938" s="1">
        <f>IFERROR(__xludf.DUMMYFUNCTION("""COMPUTED_VALUE"""),22.31)</f>
        <v>22.31</v>
      </c>
      <c r="E938" s="1">
        <f>IFERROR(__xludf.DUMMYFUNCTION("""COMPUTED_VALUE"""),22.54)</f>
        <v>22.54</v>
      </c>
      <c r="F938" s="1">
        <f>IFERROR(__xludf.DUMMYFUNCTION("""COMPUTED_VALUE"""),163892.0)</f>
        <v>163892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IFERROR(__xludf.DUMMYFUNCTION("""COMPUTED_VALUE"""),22.56)</f>
        <v>22.56</v>
      </c>
      <c r="C939" s="1">
        <f>IFERROR(__xludf.DUMMYFUNCTION("""COMPUTED_VALUE"""),23.12)</f>
        <v>23.12</v>
      </c>
      <c r="D939" s="1">
        <f>IFERROR(__xludf.DUMMYFUNCTION("""COMPUTED_VALUE"""),22.27)</f>
        <v>22.27</v>
      </c>
      <c r="E939" s="1">
        <f>IFERROR(__xludf.DUMMYFUNCTION("""COMPUTED_VALUE"""),22.9)</f>
        <v>22.9</v>
      </c>
      <c r="F939" s="1">
        <f>IFERROR(__xludf.DUMMYFUNCTION("""COMPUTED_VALUE"""),179105.0)</f>
        <v>179105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IFERROR(__xludf.DUMMYFUNCTION("""COMPUTED_VALUE"""),22.92)</f>
        <v>22.92</v>
      </c>
      <c r="C940" s="1">
        <f>IFERROR(__xludf.DUMMYFUNCTION("""COMPUTED_VALUE"""),23.26)</f>
        <v>23.26</v>
      </c>
      <c r="D940" s="1">
        <f>IFERROR(__xludf.DUMMYFUNCTION("""COMPUTED_VALUE"""),22.59)</f>
        <v>22.59</v>
      </c>
      <c r="E940" s="1">
        <f>IFERROR(__xludf.DUMMYFUNCTION("""COMPUTED_VALUE"""),22.88)</f>
        <v>22.88</v>
      </c>
      <c r="F940" s="1">
        <f>IFERROR(__xludf.DUMMYFUNCTION("""COMPUTED_VALUE"""),139164.0)</f>
        <v>139164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IFERROR(__xludf.DUMMYFUNCTION("""COMPUTED_VALUE"""),22.94)</f>
        <v>22.94</v>
      </c>
      <c r="C941" s="1">
        <f>IFERROR(__xludf.DUMMYFUNCTION("""COMPUTED_VALUE"""),23.06)</f>
        <v>23.06</v>
      </c>
      <c r="D941" s="1">
        <f>IFERROR(__xludf.DUMMYFUNCTION("""COMPUTED_VALUE"""),22.64)</f>
        <v>22.64</v>
      </c>
      <c r="E941" s="1">
        <f>IFERROR(__xludf.DUMMYFUNCTION("""COMPUTED_VALUE"""),22.91)</f>
        <v>22.91</v>
      </c>
      <c r="F941" s="1">
        <f>IFERROR(__xludf.DUMMYFUNCTION("""COMPUTED_VALUE"""),121291.0)</f>
        <v>121291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IFERROR(__xludf.DUMMYFUNCTION("""COMPUTED_VALUE"""),22.68)</f>
        <v>22.68</v>
      </c>
      <c r="C942" s="1">
        <f>IFERROR(__xludf.DUMMYFUNCTION("""COMPUTED_VALUE"""),23.25)</f>
        <v>23.25</v>
      </c>
      <c r="D942" s="1">
        <f>IFERROR(__xludf.DUMMYFUNCTION("""COMPUTED_VALUE"""),22.68)</f>
        <v>22.68</v>
      </c>
      <c r="E942" s="1">
        <f>IFERROR(__xludf.DUMMYFUNCTION("""COMPUTED_VALUE"""),23.13)</f>
        <v>23.13</v>
      </c>
      <c r="F942" s="1">
        <f>IFERROR(__xludf.DUMMYFUNCTION("""COMPUTED_VALUE"""),166976.0)</f>
        <v>166976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IFERROR(__xludf.DUMMYFUNCTION("""COMPUTED_VALUE"""),22.84)</f>
        <v>22.84</v>
      </c>
      <c r="C943" s="1">
        <f>IFERROR(__xludf.DUMMYFUNCTION("""COMPUTED_VALUE"""),23.43)</f>
        <v>23.43</v>
      </c>
      <c r="D943" s="1">
        <f>IFERROR(__xludf.DUMMYFUNCTION("""COMPUTED_VALUE"""),22.67)</f>
        <v>22.67</v>
      </c>
      <c r="E943" s="1">
        <f>IFERROR(__xludf.DUMMYFUNCTION("""COMPUTED_VALUE"""),23.37)</f>
        <v>23.37</v>
      </c>
      <c r="F943" s="1">
        <f>IFERROR(__xludf.DUMMYFUNCTION("""COMPUTED_VALUE"""),292434.0)</f>
        <v>292434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IFERROR(__xludf.DUMMYFUNCTION("""COMPUTED_VALUE"""),23.43)</f>
        <v>23.43</v>
      </c>
      <c r="C944" s="1">
        <f>IFERROR(__xludf.DUMMYFUNCTION("""COMPUTED_VALUE"""),24.08)</f>
        <v>24.08</v>
      </c>
      <c r="D944" s="1">
        <f>IFERROR(__xludf.DUMMYFUNCTION("""COMPUTED_VALUE"""),23.37)</f>
        <v>23.37</v>
      </c>
      <c r="E944" s="1">
        <f>IFERROR(__xludf.DUMMYFUNCTION("""COMPUTED_VALUE"""),24.0)</f>
        <v>24</v>
      </c>
      <c r="F944" s="1">
        <f>IFERROR(__xludf.DUMMYFUNCTION("""COMPUTED_VALUE"""),614353.0)</f>
        <v>614353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IFERROR(__xludf.DUMMYFUNCTION("""COMPUTED_VALUE"""),23.8)</f>
        <v>23.8</v>
      </c>
      <c r="C945" s="1">
        <f>IFERROR(__xludf.DUMMYFUNCTION("""COMPUTED_VALUE"""),23.97)</f>
        <v>23.97</v>
      </c>
      <c r="D945" s="1">
        <f>IFERROR(__xludf.DUMMYFUNCTION("""COMPUTED_VALUE"""),23.47)</f>
        <v>23.47</v>
      </c>
      <c r="E945" s="1">
        <f>IFERROR(__xludf.DUMMYFUNCTION("""COMPUTED_VALUE"""),23.8)</f>
        <v>23.8</v>
      </c>
      <c r="F945" s="1">
        <f>IFERROR(__xludf.DUMMYFUNCTION("""COMPUTED_VALUE"""),231015.0)</f>
        <v>231015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IFERROR(__xludf.DUMMYFUNCTION("""COMPUTED_VALUE"""),23.8)</f>
        <v>23.8</v>
      </c>
      <c r="C946" s="1">
        <f>IFERROR(__xludf.DUMMYFUNCTION("""COMPUTED_VALUE"""),23.8)</f>
        <v>23.8</v>
      </c>
      <c r="D946" s="1">
        <f>IFERROR(__xludf.DUMMYFUNCTION("""COMPUTED_VALUE"""),23.14)</f>
        <v>23.14</v>
      </c>
      <c r="E946" s="1">
        <f>IFERROR(__xludf.DUMMYFUNCTION("""COMPUTED_VALUE"""),23.36)</f>
        <v>23.36</v>
      </c>
      <c r="F946" s="1">
        <f>IFERROR(__xludf.DUMMYFUNCTION("""COMPUTED_VALUE"""),275506.0)</f>
        <v>275506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IFERROR(__xludf.DUMMYFUNCTION("""COMPUTED_VALUE"""),23.31)</f>
        <v>23.31</v>
      </c>
      <c r="C947" s="1">
        <f>IFERROR(__xludf.DUMMYFUNCTION("""COMPUTED_VALUE"""),23.62)</f>
        <v>23.62</v>
      </c>
      <c r="D947" s="1">
        <f>IFERROR(__xludf.DUMMYFUNCTION("""COMPUTED_VALUE"""),23.26)</f>
        <v>23.26</v>
      </c>
      <c r="E947" s="1">
        <f>IFERROR(__xludf.DUMMYFUNCTION("""COMPUTED_VALUE"""),23.54)</f>
        <v>23.54</v>
      </c>
      <c r="F947" s="1">
        <f>IFERROR(__xludf.DUMMYFUNCTION("""COMPUTED_VALUE"""),183387.0)</f>
        <v>183387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IFERROR(__xludf.DUMMYFUNCTION("""COMPUTED_VALUE"""),23.26)</f>
        <v>23.26</v>
      </c>
      <c r="C948" s="1">
        <f>IFERROR(__xludf.DUMMYFUNCTION("""COMPUTED_VALUE"""),23.42)</f>
        <v>23.42</v>
      </c>
      <c r="D948" s="1">
        <f>IFERROR(__xludf.DUMMYFUNCTION("""COMPUTED_VALUE"""),23.03)</f>
        <v>23.03</v>
      </c>
      <c r="E948" s="1">
        <f>IFERROR(__xludf.DUMMYFUNCTION("""COMPUTED_VALUE"""),23.06)</f>
        <v>23.06</v>
      </c>
      <c r="F948" s="1">
        <f>IFERROR(__xludf.DUMMYFUNCTION("""COMPUTED_VALUE"""),234393.0)</f>
        <v>234393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IFERROR(__xludf.DUMMYFUNCTION("""COMPUTED_VALUE"""),23.09)</f>
        <v>23.09</v>
      </c>
      <c r="C949" s="1">
        <f>IFERROR(__xludf.DUMMYFUNCTION("""COMPUTED_VALUE"""),23.14)</f>
        <v>23.14</v>
      </c>
      <c r="D949" s="1">
        <f>IFERROR(__xludf.DUMMYFUNCTION("""COMPUTED_VALUE"""),22.84)</f>
        <v>22.84</v>
      </c>
      <c r="E949" s="1">
        <f>IFERROR(__xludf.DUMMYFUNCTION("""COMPUTED_VALUE"""),22.96)</f>
        <v>22.96</v>
      </c>
      <c r="F949" s="1">
        <f>IFERROR(__xludf.DUMMYFUNCTION("""COMPUTED_VALUE"""),172280.0)</f>
        <v>172280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IFERROR(__xludf.DUMMYFUNCTION("""COMPUTED_VALUE"""),23.11)</f>
        <v>23.11</v>
      </c>
      <c r="C950" s="1">
        <f>IFERROR(__xludf.DUMMYFUNCTION("""COMPUTED_VALUE"""),23.41)</f>
        <v>23.41</v>
      </c>
      <c r="D950" s="1">
        <f>IFERROR(__xludf.DUMMYFUNCTION("""COMPUTED_VALUE"""),22.85)</f>
        <v>22.85</v>
      </c>
      <c r="E950" s="1">
        <f>IFERROR(__xludf.DUMMYFUNCTION("""COMPUTED_VALUE"""),22.95)</f>
        <v>22.95</v>
      </c>
      <c r="F950" s="1">
        <f>IFERROR(__xludf.DUMMYFUNCTION("""COMPUTED_VALUE"""),245544.0)</f>
        <v>245544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IFERROR(__xludf.DUMMYFUNCTION("""COMPUTED_VALUE"""),23.29)</f>
        <v>23.29</v>
      </c>
      <c r="C951" s="1">
        <f>IFERROR(__xludf.DUMMYFUNCTION("""COMPUTED_VALUE"""),23.59)</f>
        <v>23.59</v>
      </c>
      <c r="D951" s="1">
        <f>IFERROR(__xludf.DUMMYFUNCTION("""COMPUTED_VALUE"""),23.19)</f>
        <v>23.19</v>
      </c>
      <c r="E951" s="1">
        <f>IFERROR(__xludf.DUMMYFUNCTION("""COMPUTED_VALUE"""),23.56)</f>
        <v>23.56</v>
      </c>
      <c r="F951" s="1">
        <f>IFERROR(__xludf.DUMMYFUNCTION("""COMPUTED_VALUE"""),284028.0)</f>
        <v>284028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IFERROR(__xludf.DUMMYFUNCTION("""COMPUTED_VALUE"""),23.43)</f>
        <v>23.43</v>
      </c>
      <c r="C952" s="1">
        <f>IFERROR(__xludf.DUMMYFUNCTION("""COMPUTED_VALUE"""),24.03)</f>
        <v>24.03</v>
      </c>
      <c r="D952" s="1">
        <f>IFERROR(__xludf.DUMMYFUNCTION("""COMPUTED_VALUE"""),23.17)</f>
        <v>23.17</v>
      </c>
      <c r="E952" s="1">
        <f>IFERROR(__xludf.DUMMYFUNCTION("""COMPUTED_VALUE"""),24.01)</f>
        <v>24.01</v>
      </c>
      <c r="F952" s="1">
        <f>IFERROR(__xludf.DUMMYFUNCTION("""COMPUTED_VALUE"""),324962.0)</f>
        <v>324962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IFERROR(__xludf.DUMMYFUNCTION("""COMPUTED_VALUE"""),23.79)</f>
        <v>23.79</v>
      </c>
      <c r="C953" s="1">
        <f>IFERROR(__xludf.DUMMYFUNCTION("""COMPUTED_VALUE"""),24.25)</f>
        <v>24.25</v>
      </c>
      <c r="D953" s="1">
        <f>IFERROR(__xludf.DUMMYFUNCTION("""COMPUTED_VALUE"""),23.77)</f>
        <v>23.77</v>
      </c>
      <c r="E953" s="1">
        <f>IFERROR(__xludf.DUMMYFUNCTION("""COMPUTED_VALUE"""),24.18)</f>
        <v>24.18</v>
      </c>
      <c r="F953" s="1">
        <f>IFERROR(__xludf.DUMMYFUNCTION("""COMPUTED_VALUE"""),301316.0)</f>
        <v>301316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IFERROR(__xludf.DUMMYFUNCTION("""COMPUTED_VALUE"""),24.05)</f>
        <v>24.05</v>
      </c>
      <c r="C954" s="1">
        <f>IFERROR(__xludf.DUMMYFUNCTION("""COMPUTED_VALUE"""),24.14)</f>
        <v>24.14</v>
      </c>
      <c r="D954" s="1">
        <f>IFERROR(__xludf.DUMMYFUNCTION("""COMPUTED_VALUE"""),23.76)</f>
        <v>23.76</v>
      </c>
      <c r="E954" s="1">
        <f>IFERROR(__xludf.DUMMYFUNCTION("""COMPUTED_VALUE"""),23.92)</f>
        <v>23.92</v>
      </c>
      <c r="F954" s="1">
        <f>IFERROR(__xludf.DUMMYFUNCTION("""COMPUTED_VALUE"""),232782.0)</f>
        <v>232782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IFERROR(__xludf.DUMMYFUNCTION("""COMPUTED_VALUE"""),24.15)</f>
        <v>24.15</v>
      </c>
      <c r="C955" s="1">
        <f>IFERROR(__xludf.DUMMYFUNCTION("""COMPUTED_VALUE"""),24.47)</f>
        <v>24.47</v>
      </c>
      <c r="D955" s="1">
        <f>IFERROR(__xludf.DUMMYFUNCTION("""COMPUTED_VALUE"""),23.99)</f>
        <v>23.99</v>
      </c>
      <c r="E955" s="1">
        <f>IFERROR(__xludf.DUMMYFUNCTION("""COMPUTED_VALUE"""),24.38)</f>
        <v>24.38</v>
      </c>
      <c r="F955" s="1">
        <f>IFERROR(__xludf.DUMMYFUNCTION("""COMPUTED_VALUE"""),210296.0)</f>
        <v>210296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IFERROR(__xludf.DUMMYFUNCTION("""COMPUTED_VALUE"""),24.21)</f>
        <v>24.21</v>
      </c>
      <c r="C956" s="1">
        <f>IFERROR(__xludf.DUMMYFUNCTION("""COMPUTED_VALUE"""),24.49)</f>
        <v>24.49</v>
      </c>
      <c r="D956" s="1">
        <f>IFERROR(__xludf.DUMMYFUNCTION("""COMPUTED_VALUE"""),24.08)</f>
        <v>24.08</v>
      </c>
      <c r="E956" s="1">
        <f>IFERROR(__xludf.DUMMYFUNCTION("""COMPUTED_VALUE"""),24.39)</f>
        <v>24.39</v>
      </c>
      <c r="F956" s="1">
        <f>IFERROR(__xludf.DUMMYFUNCTION("""COMPUTED_VALUE"""),226552.0)</f>
        <v>226552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IFERROR(__xludf.DUMMYFUNCTION("""COMPUTED_VALUE"""),24.59)</f>
        <v>24.59</v>
      </c>
      <c r="C957" s="1">
        <f>IFERROR(__xludf.DUMMYFUNCTION("""COMPUTED_VALUE"""),24.69)</f>
        <v>24.69</v>
      </c>
      <c r="D957" s="1">
        <f>IFERROR(__xludf.DUMMYFUNCTION("""COMPUTED_VALUE"""),24.29)</f>
        <v>24.29</v>
      </c>
      <c r="E957" s="1">
        <f>IFERROR(__xludf.DUMMYFUNCTION("""COMPUTED_VALUE"""),24.69)</f>
        <v>24.69</v>
      </c>
      <c r="F957" s="1">
        <f>IFERROR(__xludf.DUMMYFUNCTION("""COMPUTED_VALUE"""),401505.0)</f>
        <v>401505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IFERROR(__xludf.DUMMYFUNCTION("""COMPUTED_VALUE"""),24.67)</f>
        <v>24.67</v>
      </c>
      <c r="C958" s="1">
        <f>IFERROR(__xludf.DUMMYFUNCTION("""COMPUTED_VALUE"""),24.87)</f>
        <v>24.87</v>
      </c>
      <c r="D958" s="1">
        <f>IFERROR(__xludf.DUMMYFUNCTION("""COMPUTED_VALUE"""),24.52)</f>
        <v>24.52</v>
      </c>
      <c r="E958" s="1">
        <f>IFERROR(__xludf.DUMMYFUNCTION("""COMPUTED_VALUE"""),24.81)</f>
        <v>24.81</v>
      </c>
      <c r="F958" s="1">
        <f>IFERROR(__xludf.DUMMYFUNCTION("""COMPUTED_VALUE"""),290671.0)</f>
        <v>290671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IFERROR(__xludf.DUMMYFUNCTION("""COMPUTED_VALUE"""),25.0)</f>
        <v>25</v>
      </c>
      <c r="C959" s="1">
        <f>IFERROR(__xludf.DUMMYFUNCTION("""COMPUTED_VALUE"""),25.83)</f>
        <v>25.83</v>
      </c>
      <c r="D959" s="1">
        <f>IFERROR(__xludf.DUMMYFUNCTION("""COMPUTED_VALUE"""),24.8)</f>
        <v>24.8</v>
      </c>
      <c r="E959" s="1">
        <f>IFERROR(__xludf.DUMMYFUNCTION("""COMPUTED_VALUE"""),25.66)</f>
        <v>25.66</v>
      </c>
      <c r="F959" s="1">
        <f>IFERROR(__xludf.DUMMYFUNCTION("""COMPUTED_VALUE"""),459115.0)</f>
        <v>459115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IFERROR(__xludf.DUMMYFUNCTION("""COMPUTED_VALUE"""),25.62)</f>
        <v>25.62</v>
      </c>
      <c r="C960" s="1">
        <f>IFERROR(__xludf.DUMMYFUNCTION("""COMPUTED_VALUE"""),25.87)</f>
        <v>25.87</v>
      </c>
      <c r="D960" s="1">
        <f>IFERROR(__xludf.DUMMYFUNCTION("""COMPUTED_VALUE"""),25.41)</f>
        <v>25.41</v>
      </c>
      <c r="E960" s="1">
        <f>IFERROR(__xludf.DUMMYFUNCTION("""COMPUTED_VALUE"""),25.66)</f>
        <v>25.66</v>
      </c>
      <c r="F960" s="1">
        <f>IFERROR(__xludf.DUMMYFUNCTION("""COMPUTED_VALUE"""),263254.0)</f>
        <v>263254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IFERROR(__xludf.DUMMYFUNCTION("""COMPUTED_VALUE"""),25.77)</f>
        <v>25.77</v>
      </c>
      <c r="C961" s="1">
        <f>IFERROR(__xludf.DUMMYFUNCTION("""COMPUTED_VALUE"""),25.84)</f>
        <v>25.84</v>
      </c>
      <c r="D961" s="1">
        <f>IFERROR(__xludf.DUMMYFUNCTION("""COMPUTED_VALUE"""),25.5)</f>
        <v>25.5</v>
      </c>
      <c r="E961" s="1">
        <f>IFERROR(__xludf.DUMMYFUNCTION("""COMPUTED_VALUE"""),25.61)</f>
        <v>25.61</v>
      </c>
      <c r="F961" s="1">
        <f>IFERROR(__xludf.DUMMYFUNCTION("""COMPUTED_VALUE"""),166234.0)</f>
        <v>166234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IFERROR(__xludf.DUMMYFUNCTION("""COMPUTED_VALUE"""),25.71)</f>
        <v>25.71</v>
      </c>
      <c r="C962" s="1">
        <f>IFERROR(__xludf.DUMMYFUNCTION("""COMPUTED_VALUE"""),25.78)</f>
        <v>25.78</v>
      </c>
      <c r="D962" s="1">
        <f>IFERROR(__xludf.DUMMYFUNCTION("""COMPUTED_VALUE"""),25.36)</f>
        <v>25.36</v>
      </c>
      <c r="E962" s="1">
        <f>IFERROR(__xludf.DUMMYFUNCTION("""COMPUTED_VALUE"""),25.56)</f>
        <v>25.56</v>
      </c>
      <c r="F962" s="1">
        <f>IFERROR(__xludf.DUMMYFUNCTION("""COMPUTED_VALUE"""),218075.0)</f>
        <v>218075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IFERROR(__xludf.DUMMYFUNCTION("""COMPUTED_VALUE"""),25.61)</f>
        <v>25.61</v>
      </c>
      <c r="C963" s="1">
        <f>IFERROR(__xludf.DUMMYFUNCTION("""COMPUTED_VALUE"""),25.75)</f>
        <v>25.75</v>
      </c>
      <c r="D963" s="1">
        <f>IFERROR(__xludf.DUMMYFUNCTION("""COMPUTED_VALUE"""),25.3)</f>
        <v>25.3</v>
      </c>
      <c r="E963" s="1">
        <f>IFERROR(__xludf.DUMMYFUNCTION("""COMPUTED_VALUE"""),25.73)</f>
        <v>25.73</v>
      </c>
      <c r="F963" s="1">
        <f>IFERROR(__xludf.DUMMYFUNCTION("""COMPUTED_VALUE"""),305271.0)</f>
        <v>305271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IFERROR(__xludf.DUMMYFUNCTION("""COMPUTED_VALUE"""),25.74)</f>
        <v>25.74</v>
      </c>
      <c r="C964" s="1">
        <f>IFERROR(__xludf.DUMMYFUNCTION("""COMPUTED_VALUE"""),25.76)</f>
        <v>25.76</v>
      </c>
      <c r="D964" s="1">
        <f>IFERROR(__xludf.DUMMYFUNCTION("""COMPUTED_VALUE"""),25.07)</f>
        <v>25.07</v>
      </c>
      <c r="E964" s="1">
        <f>IFERROR(__xludf.DUMMYFUNCTION("""COMPUTED_VALUE"""),25.12)</f>
        <v>25.12</v>
      </c>
      <c r="F964" s="1">
        <f>IFERROR(__xludf.DUMMYFUNCTION("""COMPUTED_VALUE"""),499885.0)</f>
        <v>499885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IFERROR(__xludf.DUMMYFUNCTION("""COMPUTED_VALUE"""),25.23)</f>
        <v>25.23</v>
      </c>
      <c r="C965" s="1">
        <f>IFERROR(__xludf.DUMMYFUNCTION("""COMPUTED_VALUE"""),25.35)</f>
        <v>25.35</v>
      </c>
      <c r="D965" s="1">
        <f>IFERROR(__xludf.DUMMYFUNCTION("""COMPUTED_VALUE"""),24.86)</f>
        <v>24.86</v>
      </c>
      <c r="E965" s="1">
        <f>IFERROR(__xludf.DUMMYFUNCTION("""COMPUTED_VALUE"""),25.07)</f>
        <v>25.07</v>
      </c>
      <c r="F965" s="1">
        <f>IFERROR(__xludf.DUMMYFUNCTION("""COMPUTED_VALUE"""),262785.0)</f>
        <v>262785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IFERROR(__xludf.DUMMYFUNCTION("""COMPUTED_VALUE"""),25.02)</f>
        <v>25.02</v>
      </c>
      <c r="C966" s="1">
        <f>IFERROR(__xludf.DUMMYFUNCTION("""COMPUTED_VALUE"""),25.09)</f>
        <v>25.09</v>
      </c>
      <c r="D966" s="1">
        <f>IFERROR(__xludf.DUMMYFUNCTION("""COMPUTED_VALUE"""),24.62)</f>
        <v>24.62</v>
      </c>
      <c r="E966" s="1">
        <f>IFERROR(__xludf.DUMMYFUNCTION("""COMPUTED_VALUE"""),24.63)</f>
        <v>24.63</v>
      </c>
      <c r="F966" s="1">
        <f>IFERROR(__xludf.DUMMYFUNCTION("""COMPUTED_VALUE"""),294744.0)</f>
        <v>294744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IFERROR(__xludf.DUMMYFUNCTION("""COMPUTED_VALUE"""),24.56)</f>
        <v>24.56</v>
      </c>
      <c r="C967" s="1">
        <f>IFERROR(__xludf.DUMMYFUNCTION("""COMPUTED_VALUE"""),24.74)</f>
        <v>24.74</v>
      </c>
      <c r="D967" s="1">
        <f>IFERROR(__xludf.DUMMYFUNCTION("""COMPUTED_VALUE"""),24.18)</f>
        <v>24.18</v>
      </c>
      <c r="E967" s="1">
        <f>IFERROR(__xludf.DUMMYFUNCTION("""COMPUTED_VALUE"""),24.51)</f>
        <v>24.51</v>
      </c>
      <c r="F967" s="1">
        <f>IFERROR(__xludf.DUMMYFUNCTION("""COMPUTED_VALUE"""),368533.0)</f>
        <v>368533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IFERROR(__xludf.DUMMYFUNCTION("""COMPUTED_VALUE"""),24.63)</f>
        <v>24.63</v>
      </c>
      <c r="C968" s="1">
        <f>IFERROR(__xludf.DUMMYFUNCTION("""COMPUTED_VALUE"""),24.84)</f>
        <v>24.84</v>
      </c>
      <c r="D968" s="1">
        <f>IFERROR(__xludf.DUMMYFUNCTION("""COMPUTED_VALUE"""),24.38)</f>
        <v>24.38</v>
      </c>
      <c r="E968" s="1">
        <f>IFERROR(__xludf.DUMMYFUNCTION("""COMPUTED_VALUE"""),24.75)</f>
        <v>24.75</v>
      </c>
      <c r="F968" s="1">
        <f>IFERROR(__xludf.DUMMYFUNCTION("""COMPUTED_VALUE"""),227775.0)</f>
        <v>227775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IFERROR(__xludf.DUMMYFUNCTION("""COMPUTED_VALUE"""),24.67)</f>
        <v>24.67</v>
      </c>
      <c r="C969" s="1">
        <f>IFERROR(__xludf.DUMMYFUNCTION("""COMPUTED_VALUE"""),25.06)</f>
        <v>25.06</v>
      </c>
      <c r="D969" s="1">
        <f>IFERROR(__xludf.DUMMYFUNCTION("""COMPUTED_VALUE"""),24.49)</f>
        <v>24.49</v>
      </c>
      <c r="E969" s="1">
        <f>IFERROR(__xludf.DUMMYFUNCTION("""COMPUTED_VALUE"""),24.78)</f>
        <v>24.78</v>
      </c>
      <c r="F969" s="1">
        <f>IFERROR(__xludf.DUMMYFUNCTION("""COMPUTED_VALUE"""),191455.0)</f>
        <v>191455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IFERROR(__xludf.DUMMYFUNCTION("""COMPUTED_VALUE"""),25.0)</f>
        <v>25</v>
      </c>
      <c r="C970" s="1">
        <f>IFERROR(__xludf.DUMMYFUNCTION("""COMPUTED_VALUE"""),25.2)</f>
        <v>25.2</v>
      </c>
      <c r="D970" s="1">
        <f>IFERROR(__xludf.DUMMYFUNCTION("""COMPUTED_VALUE"""),24.69)</f>
        <v>24.69</v>
      </c>
      <c r="E970" s="1">
        <f>IFERROR(__xludf.DUMMYFUNCTION("""COMPUTED_VALUE"""),24.97)</f>
        <v>24.97</v>
      </c>
      <c r="F970" s="1">
        <f>IFERROR(__xludf.DUMMYFUNCTION("""COMPUTED_VALUE"""),165288.0)</f>
        <v>165288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IFERROR(__xludf.DUMMYFUNCTION("""COMPUTED_VALUE"""),25.05)</f>
        <v>25.05</v>
      </c>
      <c r="C971" s="1">
        <f>IFERROR(__xludf.DUMMYFUNCTION("""COMPUTED_VALUE"""),25.22)</f>
        <v>25.22</v>
      </c>
      <c r="D971" s="1">
        <f>IFERROR(__xludf.DUMMYFUNCTION("""COMPUTED_VALUE"""),24.27)</f>
        <v>24.27</v>
      </c>
      <c r="E971" s="1">
        <f>IFERROR(__xludf.DUMMYFUNCTION("""COMPUTED_VALUE"""),24.28)</f>
        <v>24.28</v>
      </c>
      <c r="F971" s="1">
        <f>IFERROR(__xludf.DUMMYFUNCTION("""COMPUTED_VALUE"""),208476.0)</f>
        <v>208476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IFERROR(__xludf.DUMMYFUNCTION("""COMPUTED_VALUE"""),24.28)</f>
        <v>24.28</v>
      </c>
      <c r="C972" s="1">
        <f>IFERROR(__xludf.DUMMYFUNCTION("""COMPUTED_VALUE"""),25.55)</f>
        <v>25.55</v>
      </c>
      <c r="D972" s="1">
        <f>IFERROR(__xludf.DUMMYFUNCTION("""COMPUTED_VALUE"""),24.28)</f>
        <v>24.28</v>
      </c>
      <c r="E972" s="1">
        <f>IFERROR(__xludf.DUMMYFUNCTION("""COMPUTED_VALUE"""),25.54)</f>
        <v>25.54</v>
      </c>
      <c r="F972" s="1">
        <f>IFERROR(__xludf.DUMMYFUNCTION("""COMPUTED_VALUE"""),320455.0)</f>
        <v>320455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IFERROR(__xludf.DUMMYFUNCTION("""COMPUTED_VALUE"""),25.55)</f>
        <v>25.55</v>
      </c>
      <c r="C973" s="1">
        <f>IFERROR(__xludf.DUMMYFUNCTION("""COMPUTED_VALUE"""),25.55)</f>
        <v>25.55</v>
      </c>
      <c r="D973" s="1">
        <f>IFERROR(__xludf.DUMMYFUNCTION("""COMPUTED_VALUE"""),24.99)</f>
        <v>24.99</v>
      </c>
      <c r="E973" s="1">
        <f>IFERROR(__xludf.DUMMYFUNCTION("""COMPUTED_VALUE"""),25.24)</f>
        <v>25.24</v>
      </c>
      <c r="F973" s="1">
        <f>IFERROR(__xludf.DUMMYFUNCTION("""COMPUTED_VALUE"""),200077.0)</f>
        <v>200077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IFERROR(__xludf.DUMMYFUNCTION("""COMPUTED_VALUE"""),25.1)</f>
        <v>25.1</v>
      </c>
      <c r="C974" s="1">
        <f>IFERROR(__xludf.DUMMYFUNCTION("""COMPUTED_VALUE"""),25.12)</f>
        <v>25.12</v>
      </c>
      <c r="D974" s="1">
        <f>IFERROR(__xludf.DUMMYFUNCTION("""COMPUTED_VALUE"""),24.66)</f>
        <v>24.66</v>
      </c>
      <c r="E974" s="1">
        <f>IFERROR(__xludf.DUMMYFUNCTION("""COMPUTED_VALUE"""),24.84)</f>
        <v>24.84</v>
      </c>
      <c r="F974" s="1">
        <f>IFERROR(__xludf.DUMMYFUNCTION("""COMPUTED_VALUE"""),90887.0)</f>
        <v>90887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IFERROR(__xludf.DUMMYFUNCTION("""COMPUTED_VALUE"""),24.72)</f>
        <v>24.72</v>
      </c>
      <c r="C975" s="1">
        <f>IFERROR(__xludf.DUMMYFUNCTION("""COMPUTED_VALUE"""),25.21)</f>
        <v>25.21</v>
      </c>
      <c r="D975" s="1">
        <f>IFERROR(__xludf.DUMMYFUNCTION("""COMPUTED_VALUE"""),24.6)</f>
        <v>24.6</v>
      </c>
      <c r="E975" s="1">
        <f>IFERROR(__xludf.DUMMYFUNCTION("""COMPUTED_VALUE"""),25.21)</f>
        <v>25.21</v>
      </c>
      <c r="F975" s="1">
        <f>IFERROR(__xludf.DUMMYFUNCTION("""COMPUTED_VALUE"""),167094.0)</f>
        <v>167094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IFERROR(__xludf.DUMMYFUNCTION("""COMPUTED_VALUE"""),25.16)</f>
        <v>25.16</v>
      </c>
      <c r="C976" s="1">
        <f>IFERROR(__xludf.DUMMYFUNCTION("""COMPUTED_VALUE"""),25.38)</f>
        <v>25.38</v>
      </c>
      <c r="D976" s="1">
        <f>IFERROR(__xludf.DUMMYFUNCTION("""COMPUTED_VALUE"""),25.05)</f>
        <v>25.05</v>
      </c>
      <c r="E976" s="1">
        <f>IFERROR(__xludf.DUMMYFUNCTION("""COMPUTED_VALUE"""),25.29)</f>
        <v>25.29</v>
      </c>
      <c r="F976" s="1">
        <f>IFERROR(__xludf.DUMMYFUNCTION("""COMPUTED_VALUE"""),196142.0)</f>
        <v>196142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IFERROR(__xludf.DUMMYFUNCTION("""COMPUTED_VALUE"""),25.27)</f>
        <v>25.27</v>
      </c>
      <c r="C977" s="1">
        <f>IFERROR(__xludf.DUMMYFUNCTION("""COMPUTED_VALUE"""),25.37)</f>
        <v>25.37</v>
      </c>
      <c r="D977" s="1">
        <f>IFERROR(__xludf.DUMMYFUNCTION("""COMPUTED_VALUE"""),24.99)</f>
        <v>24.99</v>
      </c>
      <c r="E977" s="1">
        <f>IFERROR(__xludf.DUMMYFUNCTION("""COMPUTED_VALUE"""),25.31)</f>
        <v>25.31</v>
      </c>
      <c r="F977" s="1">
        <f>IFERROR(__xludf.DUMMYFUNCTION("""COMPUTED_VALUE"""),268972.0)</f>
        <v>268972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IFERROR(__xludf.DUMMYFUNCTION("""COMPUTED_VALUE"""),25.35)</f>
        <v>25.35</v>
      </c>
      <c r="C978" s="1">
        <f>IFERROR(__xludf.DUMMYFUNCTION("""COMPUTED_VALUE"""),25.74)</f>
        <v>25.74</v>
      </c>
      <c r="D978" s="1">
        <f>IFERROR(__xludf.DUMMYFUNCTION("""COMPUTED_VALUE"""),25.2)</f>
        <v>25.2</v>
      </c>
      <c r="E978" s="1">
        <f>IFERROR(__xludf.DUMMYFUNCTION("""COMPUTED_VALUE"""),25.32)</f>
        <v>25.32</v>
      </c>
      <c r="F978" s="1">
        <f>IFERROR(__xludf.DUMMYFUNCTION("""COMPUTED_VALUE"""),196431.0)</f>
        <v>196431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IFERROR(__xludf.DUMMYFUNCTION("""COMPUTED_VALUE"""),25.33)</f>
        <v>25.33</v>
      </c>
      <c r="C979" s="1">
        <f>IFERROR(__xludf.DUMMYFUNCTION("""COMPUTED_VALUE"""),25.45)</f>
        <v>25.45</v>
      </c>
      <c r="D979" s="1">
        <f>IFERROR(__xludf.DUMMYFUNCTION("""COMPUTED_VALUE"""),25.03)</f>
        <v>25.03</v>
      </c>
      <c r="E979" s="1">
        <f>IFERROR(__xludf.DUMMYFUNCTION("""COMPUTED_VALUE"""),25.24)</f>
        <v>25.24</v>
      </c>
      <c r="F979" s="1">
        <f>IFERROR(__xludf.DUMMYFUNCTION("""COMPUTED_VALUE"""),277949.0)</f>
        <v>277949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IFERROR(__xludf.DUMMYFUNCTION("""COMPUTED_VALUE"""),25.3)</f>
        <v>25.3</v>
      </c>
      <c r="C980" s="1">
        <f>IFERROR(__xludf.DUMMYFUNCTION("""COMPUTED_VALUE"""),25.43)</f>
        <v>25.43</v>
      </c>
      <c r="D980" s="1">
        <f>IFERROR(__xludf.DUMMYFUNCTION("""COMPUTED_VALUE"""),25.03)</f>
        <v>25.03</v>
      </c>
      <c r="E980" s="1">
        <f>IFERROR(__xludf.DUMMYFUNCTION("""COMPUTED_VALUE"""),25.27)</f>
        <v>25.27</v>
      </c>
      <c r="F980" s="1">
        <f>IFERROR(__xludf.DUMMYFUNCTION("""COMPUTED_VALUE"""),95651.0)</f>
        <v>95651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IFERROR(__xludf.DUMMYFUNCTION("""COMPUTED_VALUE"""),25.42)</f>
        <v>25.42</v>
      </c>
      <c r="C981" s="1">
        <f>IFERROR(__xludf.DUMMYFUNCTION("""COMPUTED_VALUE"""),26.0)</f>
        <v>26</v>
      </c>
      <c r="D981" s="1">
        <f>IFERROR(__xludf.DUMMYFUNCTION("""COMPUTED_VALUE"""),25.33)</f>
        <v>25.33</v>
      </c>
      <c r="E981" s="1">
        <f>IFERROR(__xludf.DUMMYFUNCTION("""COMPUTED_VALUE"""),25.96)</f>
        <v>25.96</v>
      </c>
      <c r="F981" s="1">
        <f>IFERROR(__xludf.DUMMYFUNCTION("""COMPUTED_VALUE"""),196205.0)</f>
        <v>196205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IFERROR(__xludf.DUMMYFUNCTION("""COMPUTED_VALUE"""),25.98)</f>
        <v>25.98</v>
      </c>
      <c r="C982" s="1">
        <f>IFERROR(__xludf.DUMMYFUNCTION("""COMPUTED_VALUE"""),26.39)</f>
        <v>26.39</v>
      </c>
      <c r="D982" s="1">
        <f>IFERROR(__xludf.DUMMYFUNCTION("""COMPUTED_VALUE"""),25.81)</f>
        <v>25.81</v>
      </c>
      <c r="E982" s="1">
        <f>IFERROR(__xludf.DUMMYFUNCTION("""COMPUTED_VALUE"""),26.32)</f>
        <v>26.32</v>
      </c>
      <c r="F982" s="1">
        <f>IFERROR(__xludf.DUMMYFUNCTION("""COMPUTED_VALUE"""),185664.0)</f>
        <v>185664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IFERROR(__xludf.DUMMYFUNCTION("""COMPUTED_VALUE"""),26.41)</f>
        <v>26.41</v>
      </c>
      <c r="C983" s="1">
        <f>IFERROR(__xludf.DUMMYFUNCTION("""COMPUTED_VALUE"""),26.79)</f>
        <v>26.79</v>
      </c>
      <c r="D983" s="1">
        <f>IFERROR(__xludf.DUMMYFUNCTION("""COMPUTED_VALUE"""),26.41)</f>
        <v>26.41</v>
      </c>
      <c r="E983" s="1">
        <f>IFERROR(__xludf.DUMMYFUNCTION("""COMPUTED_VALUE"""),26.53)</f>
        <v>26.53</v>
      </c>
      <c r="F983" s="1">
        <f>IFERROR(__xludf.DUMMYFUNCTION("""COMPUTED_VALUE"""),216364.0)</f>
        <v>216364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IFERROR(__xludf.DUMMYFUNCTION("""COMPUTED_VALUE"""),27.01)</f>
        <v>27.01</v>
      </c>
      <c r="C984" s="1">
        <f>IFERROR(__xludf.DUMMYFUNCTION("""COMPUTED_VALUE"""),27.23)</f>
        <v>27.23</v>
      </c>
      <c r="D984" s="1">
        <f>IFERROR(__xludf.DUMMYFUNCTION("""COMPUTED_VALUE"""),26.75)</f>
        <v>26.75</v>
      </c>
      <c r="E984" s="1">
        <f>IFERROR(__xludf.DUMMYFUNCTION("""COMPUTED_VALUE"""),27.17)</f>
        <v>27.17</v>
      </c>
      <c r="F984" s="1">
        <f>IFERROR(__xludf.DUMMYFUNCTION("""COMPUTED_VALUE"""),363738.0)</f>
        <v>363738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IFERROR(__xludf.DUMMYFUNCTION("""COMPUTED_VALUE"""),27.22)</f>
        <v>27.22</v>
      </c>
      <c r="C985" s="1">
        <f>IFERROR(__xludf.DUMMYFUNCTION("""COMPUTED_VALUE"""),27.59)</f>
        <v>27.59</v>
      </c>
      <c r="D985" s="1">
        <f>IFERROR(__xludf.DUMMYFUNCTION("""COMPUTED_VALUE"""),26.99)</f>
        <v>26.99</v>
      </c>
      <c r="E985" s="1">
        <f>IFERROR(__xludf.DUMMYFUNCTION("""COMPUTED_VALUE"""),27.59)</f>
        <v>27.59</v>
      </c>
      <c r="F985" s="1">
        <f>IFERROR(__xludf.DUMMYFUNCTION("""COMPUTED_VALUE"""),239590.0)</f>
        <v>239590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IFERROR(__xludf.DUMMYFUNCTION("""COMPUTED_VALUE"""),27.78)</f>
        <v>27.78</v>
      </c>
      <c r="C986" s="1">
        <f>IFERROR(__xludf.DUMMYFUNCTION("""COMPUTED_VALUE"""),27.82)</f>
        <v>27.82</v>
      </c>
      <c r="D986" s="1">
        <f>IFERROR(__xludf.DUMMYFUNCTION("""COMPUTED_VALUE"""),27.29)</f>
        <v>27.29</v>
      </c>
      <c r="E986" s="1">
        <f>IFERROR(__xludf.DUMMYFUNCTION("""COMPUTED_VALUE"""),27.63)</f>
        <v>27.63</v>
      </c>
      <c r="F986" s="1">
        <f>IFERROR(__xludf.DUMMYFUNCTION("""COMPUTED_VALUE"""),176492.0)</f>
        <v>176492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IFERROR(__xludf.DUMMYFUNCTION("""COMPUTED_VALUE"""),27.57)</f>
        <v>27.57</v>
      </c>
      <c r="C987" s="1">
        <f>IFERROR(__xludf.DUMMYFUNCTION("""COMPUTED_VALUE"""),27.94)</f>
        <v>27.94</v>
      </c>
      <c r="D987" s="1">
        <f>IFERROR(__xludf.DUMMYFUNCTION("""COMPUTED_VALUE"""),27.12)</f>
        <v>27.12</v>
      </c>
      <c r="E987" s="1">
        <f>IFERROR(__xludf.DUMMYFUNCTION("""COMPUTED_VALUE"""),27.19)</f>
        <v>27.19</v>
      </c>
      <c r="F987" s="1">
        <f>IFERROR(__xludf.DUMMYFUNCTION("""COMPUTED_VALUE"""),318103.0)</f>
        <v>318103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IFERROR(__xludf.DUMMYFUNCTION("""COMPUTED_VALUE"""),27.04)</f>
        <v>27.04</v>
      </c>
      <c r="C988" s="1">
        <f>IFERROR(__xludf.DUMMYFUNCTION("""COMPUTED_VALUE"""),27.07)</f>
        <v>27.07</v>
      </c>
      <c r="D988" s="1">
        <f>IFERROR(__xludf.DUMMYFUNCTION("""COMPUTED_VALUE"""),26.25)</f>
        <v>26.25</v>
      </c>
      <c r="E988" s="1">
        <f>IFERROR(__xludf.DUMMYFUNCTION("""COMPUTED_VALUE"""),26.4)</f>
        <v>26.4</v>
      </c>
      <c r="F988" s="1">
        <f>IFERROR(__xludf.DUMMYFUNCTION("""COMPUTED_VALUE"""),298824.0)</f>
        <v>298824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IFERROR(__xludf.DUMMYFUNCTION("""COMPUTED_VALUE"""),26.0)</f>
        <v>26</v>
      </c>
      <c r="C989" s="1">
        <f>IFERROR(__xludf.DUMMYFUNCTION("""COMPUTED_VALUE"""),26.4)</f>
        <v>26.4</v>
      </c>
      <c r="D989" s="1">
        <f>IFERROR(__xludf.DUMMYFUNCTION("""COMPUTED_VALUE"""),25.81)</f>
        <v>25.81</v>
      </c>
      <c r="E989" s="1">
        <f>IFERROR(__xludf.DUMMYFUNCTION("""COMPUTED_VALUE"""),26.05)</f>
        <v>26.05</v>
      </c>
      <c r="F989" s="1">
        <f>IFERROR(__xludf.DUMMYFUNCTION("""COMPUTED_VALUE"""),443990.0)</f>
        <v>443990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IFERROR(__xludf.DUMMYFUNCTION("""COMPUTED_VALUE"""),25.89)</f>
        <v>25.89</v>
      </c>
      <c r="C990" s="1">
        <f>IFERROR(__xludf.DUMMYFUNCTION("""COMPUTED_VALUE"""),26.14)</f>
        <v>26.14</v>
      </c>
      <c r="D990" s="1">
        <f>IFERROR(__xludf.DUMMYFUNCTION("""COMPUTED_VALUE"""),25.89)</f>
        <v>25.89</v>
      </c>
      <c r="E990" s="1">
        <f>IFERROR(__xludf.DUMMYFUNCTION("""COMPUTED_VALUE"""),26.07)</f>
        <v>26.07</v>
      </c>
      <c r="F990" s="1">
        <f>IFERROR(__xludf.DUMMYFUNCTION("""COMPUTED_VALUE"""),307427.0)</f>
        <v>307427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IFERROR(__xludf.DUMMYFUNCTION("""COMPUTED_VALUE"""),26.27)</f>
        <v>26.27</v>
      </c>
      <c r="C991" s="1">
        <f>IFERROR(__xludf.DUMMYFUNCTION("""COMPUTED_VALUE"""),26.55)</f>
        <v>26.55</v>
      </c>
      <c r="D991" s="1">
        <f>IFERROR(__xludf.DUMMYFUNCTION("""COMPUTED_VALUE"""),26.2)</f>
        <v>26.2</v>
      </c>
      <c r="E991" s="1">
        <f>IFERROR(__xludf.DUMMYFUNCTION("""COMPUTED_VALUE"""),26.34)</f>
        <v>26.34</v>
      </c>
      <c r="F991" s="1">
        <f>IFERROR(__xludf.DUMMYFUNCTION("""COMPUTED_VALUE"""),334244.0)</f>
        <v>334244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IFERROR(__xludf.DUMMYFUNCTION("""COMPUTED_VALUE"""),26.34)</f>
        <v>26.34</v>
      </c>
      <c r="C992" s="1">
        <f>IFERROR(__xludf.DUMMYFUNCTION("""COMPUTED_VALUE"""),26.46)</f>
        <v>26.46</v>
      </c>
      <c r="D992" s="1">
        <f>IFERROR(__xludf.DUMMYFUNCTION("""COMPUTED_VALUE"""),26.09)</f>
        <v>26.09</v>
      </c>
      <c r="E992" s="1">
        <f>IFERROR(__xludf.DUMMYFUNCTION("""COMPUTED_VALUE"""),26.14)</f>
        <v>26.14</v>
      </c>
      <c r="F992" s="1">
        <f>IFERROR(__xludf.DUMMYFUNCTION("""COMPUTED_VALUE"""),386153.0)</f>
        <v>386153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IFERROR(__xludf.DUMMYFUNCTION("""COMPUTED_VALUE"""),26.01)</f>
        <v>26.01</v>
      </c>
      <c r="C993" s="1">
        <f>IFERROR(__xludf.DUMMYFUNCTION("""COMPUTED_VALUE"""),26.18)</f>
        <v>26.18</v>
      </c>
      <c r="D993" s="1">
        <f>IFERROR(__xludf.DUMMYFUNCTION("""COMPUTED_VALUE"""),25.68)</f>
        <v>25.68</v>
      </c>
      <c r="E993" s="1">
        <f>IFERROR(__xludf.DUMMYFUNCTION("""COMPUTED_VALUE"""),25.75)</f>
        <v>25.75</v>
      </c>
      <c r="F993" s="1">
        <f>IFERROR(__xludf.DUMMYFUNCTION("""COMPUTED_VALUE"""),304858.0)</f>
        <v>304858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IFERROR(__xludf.DUMMYFUNCTION("""COMPUTED_VALUE"""),25.88)</f>
        <v>25.88</v>
      </c>
      <c r="C994" s="1">
        <f>IFERROR(__xludf.DUMMYFUNCTION("""COMPUTED_VALUE"""),25.94)</f>
        <v>25.94</v>
      </c>
      <c r="D994" s="1">
        <f>IFERROR(__xludf.DUMMYFUNCTION("""COMPUTED_VALUE"""),25.08)</f>
        <v>25.08</v>
      </c>
      <c r="E994" s="1">
        <f>IFERROR(__xludf.DUMMYFUNCTION("""COMPUTED_VALUE"""),25.14)</f>
        <v>25.14</v>
      </c>
      <c r="F994" s="1">
        <f>IFERROR(__xludf.DUMMYFUNCTION("""COMPUTED_VALUE"""),373935.0)</f>
        <v>373935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IFERROR(__xludf.DUMMYFUNCTION("""COMPUTED_VALUE"""),25.19)</f>
        <v>25.19</v>
      </c>
      <c r="C995" s="1">
        <f>IFERROR(__xludf.DUMMYFUNCTION("""COMPUTED_VALUE"""),25.47)</f>
        <v>25.47</v>
      </c>
      <c r="D995" s="1">
        <f>IFERROR(__xludf.DUMMYFUNCTION("""COMPUTED_VALUE"""),25.07)</f>
        <v>25.07</v>
      </c>
      <c r="E995" s="1">
        <f>IFERROR(__xludf.DUMMYFUNCTION("""COMPUTED_VALUE"""),25.26)</f>
        <v>25.26</v>
      </c>
      <c r="F995" s="1">
        <f>IFERROR(__xludf.DUMMYFUNCTION("""COMPUTED_VALUE"""),403547.0)</f>
        <v>403547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IFERROR(__xludf.DUMMYFUNCTION("""COMPUTED_VALUE"""),25.38)</f>
        <v>25.38</v>
      </c>
      <c r="C996" s="1">
        <f>IFERROR(__xludf.DUMMYFUNCTION("""COMPUTED_VALUE"""),25.55)</f>
        <v>25.55</v>
      </c>
      <c r="D996" s="1">
        <f>IFERROR(__xludf.DUMMYFUNCTION("""COMPUTED_VALUE"""),25.0)</f>
        <v>25</v>
      </c>
      <c r="E996" s="1">
        <f>IFERROR(__xludf.DUMMYFUNCTION("""COMPUTED_VALUE"""),25.23)</f>
        <v>25.23</v>
      </c>
      <c r="F996" s="1">
        <f>IFERROR(__xludf.DUMMYFUNCTION("""COMPUTED_VALUE"""),274631.0)</f>
        <v>274631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IFERROR(__xludf.DUMMYFUNCTION("""COMPUTED_VALUE"""),25.42)</f>
        <v>25.42</v>
      </c>
      <c r="C997" s="1">
        <f>IFERROR(__xludf.DUMMYFUNCTION("""COMPUTED_VALUE"""),25.82)</f>
        <v>25.82</v>
      </c>
      <c r="D997" s="1">
        <f>IFERROR(__xludf.DUMMYFUNCTION("""COMPUTED_VALUE"""),25.25)</f>
        <v>25.25</v>
      </c>
      <c r="E997" s="1">
        <f>IFERROR(__xludf.DUMMYFUNCTION("""COMPUTED_VALUE"""),25.78)</f>
        <v>25.78</v>
      </c>
      <c r="F997" s="1">
        <f>IFERROR(__xludf.DUMMYFUNCTION("""COMPUTED_VALUE"""),344269.0)</f>
        <v>344269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IFERROR(__xludf.DUMMYFUNCTION("""COMPUTED_VALUE"""),25.8)</f>
        <v>25.8</v>
      </c>
      <c r="C998" s="1">
        <f>IFERROR(__xludf.DUMMYFUNCTION("""COMPUTED_VALUE"""),25.8)</f>
        <v>25.8</v>
      </c>
      <c r="D998" s="1">
        <f>IFERROR(__xludf.DUMMYFUNCTION("""COMPUTED_VALUE"""),25.33)</f>
        <v>25.33</v>
      </c>
      <c r="E998" s="1">
        <f>IFERROR(__xludf.DUMMYFUNCTION("""COMPUTED_VALUE"""),25.59)</f>
        <v>25.59</v>
      </c>
      <c r="F998" s="1">
        <f>IFERROR(__xludf.DUMMYFUNCTION("""COMPUTED_VALUE"""),206994.0)</f>
        <v>206994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IFERROR(__xludf.DUMMYFUNCTION("""COMPUTED_VALUE"""),25.71)</f>
        <v>25.71</v>
      </c>
      <c r="C999" s="1">
        <f>IFERROR(__xludf.DUMMYFUNCTION("""COMPUTED_VALUE"""),26.25)</f>
        <v>26.25</v>
      </c>
      <c r="D999" s="1">
        <f>IFERROR(__xludf.DUMMYFUNCTION("""COMPUTED_VALUE"""),25.44)</f>
        <v>25.44</v>
      </c>
      <c r="E999" s="1">
        <f>IFERROR(__xludf.DUMMYFUNCTION("""COMPUTED_VALUE"""),26.25)</f>
        <v>26.25</v>
      </c>
      <c r="F999" s="1">
        <f>IFERROR(__xludf.DUMMYFUNCTION("""COMPUTED_VALUE"""),304604.0)</f>
        <v>304604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IFERROR(__xludf.DUMMYFUNCTION("""COMPUTED_VALUE"""),26.23)</f>
        <v>26.23</v>
      </c>
      <c r="C1000" s="1">
        <f>IFERROR(__xludf.DUMMYFUNCTION("""COMPUTED_VALUE"""),26.45)</f>
        <v>26.45</v>
      </c>
      <c r="D1000" s="1">
        <f>IFERROR(__xludf.DUMMYFUNCTION("""COMPUTED_VALUE"""),25.76)</f>
        <v>25.76</v>
      </c>
      <c r="E1000" s="1">
        <f>IFERROR(__xludf.DUMMYFUNCTION("""COMPUTED_VALUE"""),25.86)</f>
        <v>25.86</v>
      </c>
      <c r="F1000" s="1">
        <f>IFERROR(__xludf.DUMMYFUNCTION("""COMPUTED_VALUE"""),264861.0)</f>
        <v>264861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IFERROR(__xludf.DUMMYFUNCTION("""COMPUTED_VALUE"""),25.96)</f>
        <v>25.96</v>
      </c>
      <c r="C1001" s="1">
        <f>IFERROR(__xludf.DUMMYFUNCTION("""COMPUTED_VALUE"""),26.54)</f>
        <v>26.54</v>
      </c>
      <c r="D1001" s="1">
        <f>IFERROR(__xludf.DUMMYFUNCTION("""COMPUTED_VALUE"""),25.79)</f>
        <v>25.79</v>
      </c>
      <c r="E1001" s="1">
        <f>IFERROR(__xludf.DUMMYFUNCTION("""COMPUTED_VALUE"""),26.42)</f>
        <v>26.42</v>
      </c>
      <c r="F1001" s="1">
        <f>IFERROR(__xludf.DUMMYFUNCTION("""COMPUTED_VALUE"""),991329.0)</f>
        <v>991329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IFERROR(__xludf.DUMMYFUNCTION("""COMPUTED_VALUE"""),26.59)</f>
        <v>26.59</v>
      </c>
      <c r="C1002" s="1">
        <f>IFERROR(__xludf.DUMMYFUNCTION("""COMPUTED_VALUE"""),27.04)</f>
        <v>27.04</v>
      </c>
      <c r="D1002" s="1">
        <f>IFERROR(__xludf.DUMMYFUNCTION("""COMPUTED_VALUE"""),26.2)</f>
        <v>26.2</v>
      </c>
      <c r="E1002" s="1">
        <f>IFERROR(__xludf.DUMMYFUNCTION("""COMPUTED_VALUE"""),27.0)</f>
        <v>27</v>
      </c>
      <c r="F1002" s="1">
        <f>IFERROR(__xludf.DUMMYFUNCTION("""COMPUTED_VALUE"""),373228.0)</f>
        <v>373228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IFERROR(__xludf.DUMMYFUNCTION("""COMPUTED_VALUE"""),26.96)</f>
        <v>26.96</v>
      </c>
      <c r="C1003" s="1">
        <f>IFERROR(__xludf.DUMMYFUNCTION("""COMPUTED_VALUE"""),27.26)</f>
        <v>27.26</v>
      </c>
      <c r="D1003" s="1">
        <f>IFERROR(__xludf.DUMMYFUNCTION("""COMPUTED_VALUE"""),26.96)</f>
        <v>26.96</v>
      </c>
      <c r="E1003" s="1">
        <f>IFERROR(__xludf.DUMMYFUNCTION("""COMPUTED_VALUE"""),27.0)</f>
        <v>27</v>
      </c>
      <c r="F1003" s="1">
        <f>IFERROR(__xludf.DUMMYFUNCTION("""COMPUTED_VALUE"""),94711.0)</f>
        <v>94711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IFERROR(__xludf.DUMMYFUNCTION("""COMPUTED_VALUE"""),27.11)</f>
        <v>27.11</v>
      </c>
      <c r="C1004" s="1">
        <f>IFERROR(__xludf.DUMMYFUNCTION("""COMPUTED_VALUE"""),27.2)</f>
        <v>27.2</v>
      </c>
      <c r="D1004" s="1">
        <f>IFERROR(__xludf.DUMMYFUNCTION("""COMPUTED_VALUE"""),26.89)</f>
        <v>26.89</v>
      </c>
      <c r="E1004" s="1">
        <f>IFERROR(__xludf.DUMMYFUNCTION("""COMPUTED_VALUE"""),26.93)</f>
        <v>26.93</v>
      </c>
      <c r="F1004" s="1">
        <f>IFERROR(__xludf.DUMMYFUNCTION("""COMPUTED_VALUE"""),335284.0)</f>
        <v>335284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IFERROR(__xludf.DUMMYFUNCTION("""COMPUTED_VALUE"""),27.08)</f>
        <v>27.08</v>
      </c>
      <c r="C1005" s="1">
        <f>IFERROR(__xludf.DUMMYFUNCTION("""COMPUTED_VALUE"""),27.24)</f>
        <v>27.24</v>
      </c>
      <c r="D1005" s="1">
        <f>IFERROR(__xludf.DUMMYFUNCTION("""COMPUTED_VALUE"""),26.81)</f>
        <v>26.81</v>
      </c>
      <c r="E1005" s="1">
        <f>IFERROR(__xludf.DUMMYFUNCTION("""COMPUTED_VALUE"""),26.97)</f>
        <v>26.97</v>
      </c>
      <c r="F1005" s="1">
        <f>IFERROR(__xludf.DUMMYFUNCTION("""COMPUTED_VALUE"""),161194.0)</f>
        <v>161194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IFERROR(__xludf.DUMMYFUNCTION("""COMPUTED_VALUE"""),26.88)</f>
        <v>26.88</v>
      </c>
      <c r="C1006" s="1">
        <f>IFERROR(__xludf.DUMMYFUNCTION("""COMPUTED_VALUE"""),27.12)</f>
        <v>27.12</v>
      </c>
      <c r="D1006" s="1">
        <f>IFERROR(__xludf.DUMMYFUNCTION("""COMPUTED_VALUE"""),26.74)</f>
        <v>26.74</v>
      </c>
      <c r="E1006" s="1">
        <f>IFERROR(__xludf.DUMMYFUNCTION("""COMPUTED_VALUE"""),26.92)</f>
        <v>26.92</v>
      </c>
      <c r="F1006" s="1">
        <f>IFERROR(__xludf.DUMMYFUNCTION("""COMPUTED_VALUE"""),284357.0)</f>
        <v>284357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IFERROR(__xludf.DUMMYFUNCTION("""COMPUTED_VALUE"""),26.96)</f>
        <v>26.96</v>
      </c>
      <c r="C1007" s="1">
        <f>IFERROR(__xludf.DUMMYFUNCTION("""COMPUTED_VALUE"""),27.11)</f>
        <v>27.11</v>
      </c>
      <c r="D1007" s="1">
        <f>IFERROR(__xludf.DUMMYFUNCTION("""COMPUTED_VALUE"""),26.71)</f>
        <v>26.71</v>
      </c>
      <c r="E1007" s="1">
        <f>IFERROR(__xludf.DUMMYFUNCTION("""COMPUTED_VALUE"""),26.73)</f>
        <v>26.73</v>
      </c>
      <c r="F1007" s="1">
        <f>IFERROR(__xludf.DUMMYFUNCTION("""COMPUTED_VALUE"""),192707.0)</f>
        <v>192707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IFERROR(__xludf.DUMMYFUNCTION("""COMPUTED_VALUE"""),26.71)</f>
        <v>26.71</v>
      </c>
      <c r="C1008" s="1">
        <f>IFERROR(__xludf.DUMMYFUNCTION("""COMPUTED_VALUE"""),26.71)</f>
        <v>26.71</v>
      </c>
      <c r="D1008" s="1">
        <f>IFERROR(__xludf.DUMMYFUNCTION("""COMPUTED_VALUE"""),26.0)</f>
        <v>26</v>
      </c>
      <c r="E1008" s="1">
        <f>IFERROR(__xludf.DUMMYFUNCTION("""COMPUTED_VALUE"""),26.14)</f>
        <v>26.14</v>
      </c>
      <c r="F1008" s="1">
        <f>IFERROR(__xludf.DUMMYFUNCTION("""COMPUTED_VALUE"""),362358.0)</f>
        <v>362358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IFERROR(__xludf.DUMMYFUNCTION("""COMPUTED_VALUE"""),26.18)</f>
        <v>26.18</v>
      </c>
      <c r="C1009" s="1">
        <f>IFERROR(__xludf.DUMMYFUNCTION("""COMPUTED_VALUE"""),26.43)</f>
        <v>26.43</v>
      </c>
      <c r="D1009" s="1">
        <f>IFERROR(__xludf.DUMMYFUNCTION("""COMPUTED_VALUE"""),25.91)</f>
        <v>25.91</v>
      </c>
      <c r="E1009" s="1">
        <f>IFERROR(__xludf.DUMMYFUNCTION("""COMPUTED_VALUE"""),26.14)</f>
        <v>26.14</v>
      </c>
      <c r="F1009" s="1">
        <f>IFERROR(__xludf.DUMMYFUNCTION("""COMPUTED_VALUE"""),346559.0)</f>
        <v>346559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IFERROR(__xludf.DUMMYFUNCTION("""COMPUTED_VALUE"""),26.23)</f>
        <v>26.23</v>
      </c>
      <c r="C1010" s="1">
        <f>IFERROR(__xludf.DUMMYFUNCTION("""COMPUTED_VALUE"""),26.44)</f>
        <v>26.44</v>
      </c>
      <c r="D1010" s="1">
        <f>IFERROR(__xludf.DUMMYFUNCTION("""COMPUTED_VALUE"""),25.86)</f>
        <v>25.86</v>
      </c>
      <c r="E1010" s="1">
        <f>IFERROR(__xludf.DUMMYFUNCTION("""COMPUTED_VALUE"""),25.91)</f>
        <v>25.91</v>
      </c>
      <c r="F1010" s="1">
        <f>IFERROR(__xludf.DUMMYFUNCTION("""COMPUTED_VALUE"""),352699.0)</f>
        <v>352699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IFERROR(__xludf.DUMMYFUNCTION("""COMPUTED_VALUE"""),26.12)</f>
        <v>26.12</v>
      </c>
      <c r="C1011" s="1">
        <f>IFERROR(__xludf.DUMMYFUNCTION("""COMPUTED_VALUE"""),26.51)</f>
        <v>26.51</v>
      </c>
      <c r="D1011" s="1">
        <f>IFERROR(__xludf.DUMMYFUNCTION("""COMPUTED_VALUE"""),25.95)</f>
        <v>25.95</v>
      </c>
      <c r="E1011" s="1">
        <f>IFERROR(__xludf.DUMMYFUNCTION("""COMPUTED_VALUE"""),26.21)</f>
        <v>26.21</v>
      </c>
      <c r="F1011" s="1">
        <f>IFERROR(__xludf.DUMMYFUNCTION("""COMPUTED_VALUE"""),277576.0)</f>
        <v>277576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IFERROR(__xludf.DUMMYFUNCTION("""COMPUTED_VALUE"""),26.11)</f>
        <v>26.11</v>
      </c>
      <c r="C1012" s="1">
        <f>IFERROR(__xludf.DUMMYFUNCTION("""COMPUTED_VALUE"""),26.34)</f>
        <v>26.34</v>
      </c>
      <c r="D1012" s="1">
        <f>IFERROR(__xludf.DUMMYFUNCTION("""COMPUTED_VALUE"""),26.01)</f>
        <v>26.01</v>
      </c>
      <c r="E1012" s="1">
        <f>IFERROR(__xludf.DUMMYFUNCTION("""COMPUTED_VALUE"""),26.32)</f>
        <v>26.32</v>
      </c>
      <c r="F1012" s="1">
        <f>IFERROR(__xludf.DUMMYFUNCTION("""COMPUTED_VALUE"""),223228.0)</f>
        <v>223228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IFERROR(__xludf.DUMMYFUNCTION("""COMPUTED_VALUE"""),26.45)</f>
        <v>26.45</v>
      </c>
      <c r="C1013" s="1">
        <f>IFERROR(__xludf.DUMMYFUNCTION("""COMPUTED_VALUE"""),26.54)</f>
        <v>26.54</v>
      </c>
      <c r="D1013" s="1">
        <f>IFERROR(__xludf.DUMMYFUNCTION("""COMPUTED_VALUE"""),26.15)</f>
        <v>26.15</v>
      </c>
      <c r="E1013" s="1">
        <f>IFERROR(__xludf.DUMMYFUNCTION("""COMPUTED_VALUE"""),26.37)</f>
        <v>26.37</v>
      </c>
      <c r="F1013" s="1">
        <f>IFERROR(__xludf.DUMMYFUNCTION("""COMPUTED_VALUE"""),204595.0)</f>
        <v>204595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IFERROR(__xludf.DUMMYFUNCTION("""COMPUTED_VALUE"""),26.36)</f>
        <v>26.36</v>
      </c>
      <c r="C1014" s="1">
        <f>IFERROR(__xludf.DUMMYFUNCTION("""COMPUTED_VALUE"""),26.36)</f>
        <v>26.36</v>
      </c>
      <c r="D1014" s="1">
        <f>IFERROR(__xludf.DUMMYFUNCTION("""COMPUTED_VALUE"""),25.9)</f>
        <v>25.9</v>
      </c>
      <c r="E1014" s="1">
        <f>IFERROR(__xludf.DUMMYFUNCTION("""COMPUTED_VALUE"""),26.2)</f>
        <v>26.2</v>
      </c>
      <c r="F1014" s="1">
        <f>IFERROR(__xludf.DUMMYFUNCTION("""COMPUTED_VALUE"""),214817.0)</f>
        <v>214817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IFERROR(__xludf.DUMMYFUNCTION("""COMPUTED_VALUE"""),26.06)</f>
        <v>26.06</v>
      </c>
      <c r="C1015" s="1">
        <f>IFERROR(__xludf.DUMMYFUNCTION("""COMPUTED_VALUE"""),26.46)</f>
        <v>26.46</v>
      </c>
      <c r="D1015" s="1">
        <f>IFERROR(__xludf.DUMMYFUNCTION("""COMPUTED_VALUE"""),25.7)</f>
        <v>25.7</v>
      </c>
      <c r="E1015" s="1">
        <f>IFERROR(__xludf.DUMMYFUNCTION("""COMPUTED_VALUE"""),25.92)</f>
        <v>25.92</v>
      </c>
      <c r="F1015" s="1">
        <f>IFERROR(__xludf.DUMMYFUNCTION("""COMPUTED_VALUE"""),329292.0)</f>
        <v>329292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IFERROR(__xludf.DUMMYFUNCTION("""COMPUTED_VALUE"""),26.11)</f>
        <v>26.11</v>
      </c>
      <c r="C1016" s="1">
        <f>IFERROR(__xludf.DUMMYFUNCTION("""COMPUTED_VALUE"""),26.41)</f>
        <v>26.41</v>
      </c>
      <c r="D1016" s="1">
        <f>IFERROR(__xludf.DUMMYFUNCTION("""COMPUTED_VALUE"""),25.91)</f>
        <v>25.91</v>
      </c>
      <c r="E1016" s="1">
        <f>IFERROR(__xludf.DUMMYFUNCTION("""COMPUTED_VALUE"""),26.11)</f>
        <v>26.11</v>
      </c>
      <c r="F1016" s="1">
        <f>IFERROR(__xludf.DUMMYFUNCTION("""COMPUTED_VALUE"""),415017.0)</f>
        <v>415017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IFERROR(__xludf.DUMMYFUNCTION("""COMPUTED_VALUE"""),26.28)</f>
        <v>26.28</v>
      </c>
      <c r="C1017" s="1">
        <f>IFERROR(__xludf.DUMMYFUNCTION("""COMPUTED_VALUE"""),26.51)</f>
        <v>26.51</v>
      </c>
      <c r="D1017" s="1">
        <f>IFERROR(__xludf.DUMMYFUNCTION("""COMPUTED_VALUE"""),25.88)</f>
        <v>25.88</v>
      </c>
      <c r="E1017" s="1">
        <f>IFERROR(__xludf.DUMMYFUNCTION("""COMPUTED_VALUE"""),26.1)</f>
        <v>26.1</v>
      </c>
      <c r="F1017" s="1">
        <f>IFERROR(__xludf.DUMMYFUNCTION("""COMPUTED_VALUE"""),654149.0)</f>
        <v>654149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IFERROR(__xludf.DUMMYFUNCTION("""COMPUTED_VALUE"""),25.99)</f>
        <v>25.99</v>
      </c>
      <c r="C1018" s="1">
        <f>IFERROR(__xludf.DUMMYFUNCTION("""COMPUTED_VALUE"""),26.17)</f>
        <v>26.17</v>
      </c>
      <c r="D1018" s="1">
        <f>IFERROR(__xludf.DUMMYFUNCTION("""COMPUTED_VALUE"""),25.32)</f>
        <v>25.32</v>
      </c>
      <c r="E1018" s="1">
        <f>IFERROR(__xludf.DUMMYFUNCTION("""COMPUTED_VALUE"""),25.36)</f>
        <v>25.36</v>
      </c>
      <c r="F1018" s="1">
        <f>IFERROR(__xludf.DUMMYFUNCTION("""COMPUTED_VALUE"""),514327.0)</f>
        <v>514327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IFERROR(__xludf.DUMMYFUNCTION("""COMPUTED_VALUE"""),25.4)</f>
        <v>25.4</v>
      </c>
      <c r="C1019" s="1">
        <f>IFERROR(__xludf.DUMMYFUNCTION("""COMPUTED_VALUE"""),25.69)</f>
        <v>25.69</v>
      </c>
      <c r="D1019" s="1">
        <f>IFERROR(__xludf.DUMMYFUNCTION("""COMPUTED_VALUE"""),25.38)</f>
        <v>25.38</v>
      </c>
      <c r="E1019" s="1">
        <f>IFERROR(__xludf.DUMMYFUNCTION("""COMPUTED_VALUE"""),25.48)</f>
        <v>25.48</v>
      </c>
      <c r="F1019" s="1">
        <f>IFERROR(__xludf.DUMMYFUNCTION("""COMPUTED_VALUE"""),347754.0)</f>
        <v>347754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IFERROR(__xludf.DUMMYFUNCTION("""COMPUTED_VALUE"""),25.73)</f>
        <v>25.73</v>
      </c>
      <c r="C1020" s="1">
        <f>IFERROR(__xludf.DUMMYFUNCTION("""COMPUTED_VALUE"""),26.02)</f>
        <v>26.02</v>
      </c>
      <c r="D1020" s="1">
        <f>IFERROR(__xludf.DUMMYFUNCTION("""COMPUTED_VALUE"""),25.5)</f>
        <v>25.5</v>
      </c>
      <c r="E1020" s="1">
        <f>IFERROR(__xludf.DUMMYFUNCTION("""COMPUTED_VALUE"""),25.96)</f>
        <v>25.96</v>
      </c>
      <c r="F1020" s="1">
        <f>IFERROR(__xludf.DUMMYFUNCTION("""COMPUTED_VALUE"""),425357.0)</f>
        <v>425357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IFERROR(__xludf.DUMMYFUNCTION("""COMPUTED_VALUE"""),25.94)</f>
        <v>25.94</v>
      </c>
      <c r="C1021" s="1">
        <f>IFERROR(__xludf.DUMMYFUNCTION("""COMPUTED_VALUE"""),26.08)</f>
        <v>26.08</v>
      </c>
      <c r="D1021" s="1">
        <f>IFERROR(__xludf.DUMMYFUNCTION("""COMPUTED_VALUE"""),25.84)</f>
        <v>25.84</v>
      </c>
      <c r="E1021" s="1">
        <f>IFERROR(__xludf.DUMMYFUNCTION("""COMPUTED_VALUE"""),25.94)</f>
        <v>25.94</v>
      </c>
      <c r="F1021" s="1">
        <f>IFERROR(__xludf.DUMMYFUNCTION("""COMPUTED_VALUE"""),302661.0)</f>
        <v>302661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IFERROR(__xludf.DUMMYFUNCTION("""COMPUTED_VALUE"""),25.94)</f>
        <v>25.94</v>
      </c>
      <c r="C1022" s="1">
        <f>IFERROR(__xludf.DUMMYFUNCTION("""COMPUTED_VALUE"""),25.94)</f>
        <v>25.94</v>
      </c>
      <c r="D1022" s="1">
        <f>IFERROR(__xludf.DUMMYFUNCTION("""COMPUTED_VALUE"""),24.94)</f>
        <v>24.94</v>
      </c>
      <c r="E1022" s="1">
        <f>IFERROR(__xludf.DUMMYFUNCTION("""COMPUTED_VALUE"""),25.09)</f>
        <v>25.09</v>
      </c>
      <c r="F1022" s="1">
        <f>IFERROR(__xludf.DUMMYFUNCTION("""COMPUTED_VALUE"""),598411.0)</f>
        <v>598411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IFERROR(__xludf.DUMMYFUNCTION("""COMPUTED_VALUE"""),24.97)</f>
        <v>24.97</v>
      </c>
      <c r="C1023" s="1">
        <f>IFERROR(__xludf.DUMMYFUNCTION("""COMPUTED_VALUE"""),25.26)</f>
        <v>25.26</v>
      </c>
      <c r="D1023" s="1">
        <f>IFERROR(__xludf.DUMMYFUNCTION("""COMPUTED_VALUE"""),24.0)</f>
        <v>24</v>
      </c>
      <c r="E1023" s="1">
        <f>IFERROR(__xludf.DUMMYFUNCTION("""COMPUTED_VALUE"""),24.46)</f>
        <v>24.46</v>
      </c>
      <c r="F1023" s="1">
        <f>IFERROR(__xludf.DUMMYFUNCTION("""COMPUTED_VALUE"""),821127.0)</f>
        <v>821127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IFERROR(__xludf.DUMMYFUNCTION("""COMPUTED_VALUE"""),24.55)</f>
        <v>24.55</v>
      </c>
      <c r="C1024" s="1">
        <f>IFERROR(__xludf.DUMMYFUNCTION("""COMPUTED_VALUE"""),24.55)</f>
        <v>24.55</v>
      </c>
      <c r="D1024" s="1">
        <f>IFERROR(__xludf.DUMMYFUNCTION("""COMPUTED_VALUE"""),23.69)</f>
        <v>23.69</v>
      </c>
      <c r="E1024" s="1">
        <f>IFERROR(__xludf.DUMMYFUNCTION("""COMPUTED_VALUE"""),23.72)</f>
        <v>23.72</v>
      </c>
      <c r="F1024" s="1">
        <f>IFERROR(__xludf.DUMMYFUNCTION("""COMPUTED_VALUE"""),379543.0)</f>
        <v>379543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IFERROR(__xludf.DUMMYFUNCTION("""COMPUTED_VALUE"""),23.83)</f>
        <v>23.83</v>
      </c>
      <c r="C1025" s="1">
        <f>IFERROR(__xludf.DUMMYFUNCTION("""COMPUTED_VALUE"""),23.86)</f>
        <v>23.86</v>
      </c>
      <c r="D1025" s="1">
        <f>IFERROR(__xludf.DUMMYFUNCTION("""COMPUTED_VALUE"""),23.41)</f>
        <v>23.41</v>
      </c>
      <c r="E1025" s="1">
        <f>IFERROR(__xludf.DUMMYFUNCTION("""COMPUTED_VALUE"""),23.59)</f>
        <v>23.59</v>
      </c>
      <c r="F1025" s="1">
        <f>IFERROR(__xludf.DUMMYFUNCTION("""COMPUTED_VALUE"""),473249.0)</f>
        <v>473249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IFERROR(__xludf.DUMMYFUNCTION("""COMPUTED_VALUE"""),23.28)</f>
        <v>23.28</v>
      </c>
      <c r="C1026" s="1">
        <f>IFERROR(__xludf.DUMMYFUNCTION("""COMPUTED_VALUE"""),23.46)</f>
        <v>23.46</v>
      </c>
      <c r="D1026" s="1">
        <f>IFERROR(__xludf.DUMMYFUNCTION("""COMPUTED_VALUE"""),22.89)</f>
        <v>22.89</v>
      </c>
      <c r="E1026" s="1">
        <f>IFERROR(__xludf.DUMMYFUNCTION("""COMPUTED_VALUE"""),22.98)</f>
        <v>22.98</v>
      </c>
      <c r="F1026" s="1">
        <f>IFERROR(__xludf.DUMMYFUNCTION("""COMPUTED_VALUE"""),471373.0)</f>
        <v>471373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IFERROR(__xludf.DUMMYFUNCTION("""COMPUTED_VALUE"""),23.88)</f>
        <v>23.88</v>
      </c>
      <c r="C1027" s="1">
        <f>IFERROR(__xludf.DUMMYFUNCTION("""COMPUTED_VALUE"""),23.98)</f>
        <v>23.98</v>
      </c>
      <c r="D1027" s="1">
        <f>IFERROR(__xludf.DUMMYFUNCTION("""COMPUTED_VALUE"""),23.39)</f>
        <v>23.39</v>
      </c>
      <c r="E1027" s="1">
        <f>IFERROR(__xludf.DUMMYFUNCTION("""COMPUTED_VALUE"""),23.84)</f>
        <v>23.84</v>
      </c>
      <c r="F1027" s="1">
        <f>IFERROR(__xludf.DUMMYFUNCTION("""COMPUTED_VALUE"""),607869.0)</f>
        <v>607869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IFERROR(__xludf.DUMMYFUNCTION("""COMPUTED_VALUE"""),23.51)</f>
        <v>23.51</v>
      </c>
      <c r="C1028" s="1">
        <f>IFERROR(__xludf.DUMMYFUNCTION("""COMPUTED_VALUE"""),23.83)</f>
        <v>23.83</v>
      </c>
      <c r="D1028" s="1">
        <f>IFERROR(__xludf.DUMMYFUNCTION("""COMPUTED_VALUE"""),23.28)</f>
        <v>23.28</v>
      </c>
      <c r="E1028" s="1">
        <f>IFERROR(__xludf.DUMMYFUNCTION("""COMPUTED_VALUE"""),23.5)</f>
        <v>23.5</v>
      </c>
      <c r="F1028" s="1">
        <f>IFERROR(__xludf.DUMMYFUNCTION("""COMPUTED_VALUE"""),603681.0)</f>
        <v>603681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IFERROR(__xludf.DUMMYFUNCTION("""COMPUTED_VALUE"""),23.39)</f>
        <v>23.39</v>
      </c>
      <c r="C1029" s="1">
        <f>IFERROR(__xludf.DUMMYFUNCTION("""COMPUTED_VALUE"""),23.58)</f>
        <v>23.58</v>
      </c>
      <c r="D1029" s="1">
        <f>IFERROR(__xludf.DUMMYFUNCTION("""COMPUTED_VALUE"""),22.7)</f>
        <v>22.7</v>
      </c>
      <c r="E1029" s="1">
        <f>IFERROR(__xludf.DUMMYFUNCTION("""COMPUTED_VALUE"""),22.76)</f>
        <v>22.76</v>
      </c>
      <c r="F1029" s="1">
        <f>IFERROR(__xludf.DUMMYFUNCTION("""COMPUTED_VALUE"""),1226831.0)</f>
        <v>1226831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IFERROR(__xludf.DUMMYFUNCTION("""COMPUTED_VALUE"""),23.47)</f>
        <v>23.47</v>
      </c>
      <c r="C1030" s="1">
        <f>IFERROR(__xludf.DUMMYFUNCTION("""COMPUTED_VALUE"""),23.97)</f>
        <v>23.97</v>
      </c>
      <c r="D1030" s="1">
        <f>IFERROR(__xludf.DUMMYFUNCTION("""COMPUTED_VALUE"""),23.13)</f>
        <v>23.13</v>
      </c>
      <c r="E1030" s="1">
        <f>IFERROR(__xludf.DUMMYFUNCTION("""COMPUTED_VALUE"""),23.41)</f>
        <v>23.41</v>
      </c>
      <c r="F1030" s="1">
        <f>IFERROR(__xludf.DUMMYFUNCTION("""COMPUTED_VALUE"""),835603.0)</f>
        <v>835603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IFERROR(__xludf.DUMMYFUNCTION("""COMPUTED_VALUE"""),23.24)</f>
        <v>23.24</v>
      </c>
      <c r="C1031" s="1">
        <f>IFERROR(__xludf.DUMMYFUNCTION("""COMPUTED_VALUE"""),23.43)</f>
        <v>23.43</v>
      </c>
      <c r="D1031" s="1">
        <f>IFERROR(__xludf.DUMMYFUNCTION("""COMPUTED_VALUE"""),22.95)</f>
        <v>22.95</v>
      </c>
      <c r="E1031" s="1">
        <f>IFERROR(__xludf.DUMMYFUNCTION("""COMPUTED_VALUE"""),23.33)</f>
        <v>23.33</v>
      </c>
      <c r="F1031" s="1">
        <f>IFERROR(__xludf.DUMMYFUNCTION("""COMPUTED_VALUE"""),515732.0)</f>
        <v>515732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IFERROR(__xludf.DUMMYFUNCTION("""COMPUTED_VALUE"""),23.35)</f>
        <v>23.35</v>
      </c>
      <c r="C1032" s="1">
        <f>IFERROR(__xludf.DUMMYFUNCTION("""COMPUTED_VALUE"""),23.54)</f>
        <v>23.54</v>
      </c>
      <c r="D1032" s="1">
        <f>IFERROR(__xludf.DUMMYFUNCTION("""COMPUTED_VALUE"""),23.15)</f>
        <v>23.15</v>
      </c>
      <c r="E1032" s="1">
        <f>IFERROR(__xludf.DUMMYFUNCTION("""COMPUTED_VALUE"""),23.51)</f>
        <v>23.51</v>
      </c>
      <c r="F1032" s="1">
        <f>IFERROR(__xludf.DUMMYFUNCTION("""COMPUTED_VALUE"""),399838.0)</f>
        <v>399838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IFERROR(__xludf.DUMMYFUNCTION("""COMPUTED_VALUE"""),23.59)</f>
        <v>23.59</v>
      </c>
      <c r="C1033" s="1">
        <f>IFERROR(__xludf.DUMMYFUNCTION("""COMPUTED_VALUE"""),23.88)</f>
        <v>23.88</v>
      </c>
      <c r="D1033" s="1">
        <f>IFERROR(__xludf.DUMMYFUNCTION("""COMPUTED_VALUE"""),23.3)</f>
        <v>23.3</v>
      </c>
      <c r="E1033" s="1">
        <f>IFERROR(__xludf.DUMMYFUNCTION("""COMPUTED_VALUE"""),23.61)</f>
        <v>23.61</v>
      </c>
      <c r="F1033" s="1">
        <f>IFERROR(__xludf.DUMMYFUNCTION("""COMPUTED_VALUE"""),414446.0)</f>
        <v>414446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IFERROR(__xludf.DUMMYFUNCTION("""COMPUTED_VALUE"""),23.58)</f>
        <v>23.58</v>
      </c>
      <c r="C1034" s="1">
        <f>IFERROR(__xludf.DUMMYFUNCTION("""COMPUTED_VALUE"""),23.79)</f>
        <v>23.79</v>
      </c>
      <c r="D1034" s="1">
        <f>IFERROR(__xludf.DUMMYFUNCTION("""COMPUTED_VALUE"""),23.31)</f>
        <v>23.31</v>
      </c>
      <c r="E1034" s="1">
        <f>IFERROR(__xludf.DUMMYFUNCTION("""COMPUTED_VALUE"""),23.35)</f>
        <v>23.35</v>
      </c>
      <c r="F1034" s="1">
        <f>IFERROR(__xludf.DUMMYFUNCTION("""COMPUTED_VALUE"""),387006.0)</f>
        <v>387006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IFERROR(__xludf.DUMMYFUNCTION("""COMPUTED_VALUE"""),23.29)</f>
        <v>23.29</v>
      </c>
      <c r="C1035" s="1">
        <f>IFERROR(__xludf.DUMMYFUNCTION("""COMPUTED_VALUE"""),23.68)</f>
        <v>23.68</v>
      </c>
      <c r="D1035" s="1">
        <f>IFERROR(__xludf.DUMMYFUNCTION("""COMPUTED_VALUE"""),23.22)</f>
        <v>23.22</v>
      </c>
      <c r="E1035" s="1">
        <f>IFERROR(__xludf.DUMMYFUNCTION("""COMPUTED_VALUE"""),23.61)</f>
        <v>23.61</v>
      </c>
      <c r="F1035" s="1">
        <f>IFERROR(__xludf.DUMMYFUNCTION("""COMPUTED_VALUE"""),310373.0)</f>
        <v>310373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IFERROR(__xludf.DUMMYFUNCTION("""COMPUTED_VALUE"""),23.59)</f>
        <v>23.59</v>
      </c>
      <c r="C1036" s="1">
        <f>IFERROR(__xludf.DUMMYFUNCTION("""COMPUTED_VALUE"""),24.15)</f>
        <v>24.15</v>
      </c>
      <c r="D1036" s="1">
        <f>IFERROR(__xludf.DUMMYFUNCTION("""COMPUTED_VALUE"""),23.5)</f>
        <v>23.5</v>
      </c>
      <c r="E1036" s="1">
        <f>IFERROR(__xludf.DUMMYFUNCTION("""COMPUTED_VALUE"""),23.91)</f>
        <v>23.91</v>
      </c>
      <c r="F1036" s="1">
        <f>IFERROR(__xludf.DUMMYFUNCTION("""COMPUTED_VALUE"""),504628.0)</f>
        <v>504628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IFERROR(__xludf.DUMMYFUNCTION("""COMPUTED_VALUE"""),23.65)</f>
        <v>23.65</v>
      </c>
      <c r="C1037" s="1">
        <f>IFERROR(__xludf.DUMMYFUNCTION("""COMPUTED_VALUE"""),24.19)</f>
        <v>24.19</v>
      </c>
      <c r="D1037" s="1">
        <f>IFERROR(__xludf.DUMMYFUNCTION("""COMPUTED_VALUE"""),23.53)</f>
        <v>23.53</v>
      </c>
      <c r="E1037" s="1">
        <f>IFERROR(__xludf.DUMMYFUNCTION("""COMPUTED_VALUE"""),24.15)</f>
        <v>24.15</v>
      </c>
      <c r="F1037" s="1">
        <f>IFERROR(__xludf.DUMMYFUNCTION("""COMPUTED_VALUE"""),419041.0)</f>
        <v>419041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IFERROR(__xludf.DUMMYFUNCTION("""COMPUTED_VALUE"""),24.07)</f>
        <v>24.07</v>
      </c>
      <c r="C1038" s="1">
        <f>IFERROR(__xludf.DUMMYFUNCTION("""COMPUTED_VALUE"""),24.3)</f>
        <v>24.3</v>
      </c>
      <c r="D1038" s="1">
        <f>IFERROR(__xludf.DUMMYFUNCTION("""COMPUTED_VALUE"""),23.97)</f>
        <v>23.97</v>
      </c>
      <c r="E1038" s="1">
        <f>IFERROR(__xludf.DUMMYFUNCTION("""COMPUTED_VALUE"""),24.27)</f>
        <v>24.27</v>
      </c>
      <c r="F1038" s="1">
        <f>IFERROR(__xludf.DUMMYFUNCTION("""COMPUTED_VALUE"""),250027.0)</f>
        <v>250027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IFERROR(__xludf.DUMMYFUNCTION("""COMPUTED_VALUE"""),24.24)</f>
        <v>24.24</v>
      </c>
      <c r="C1039" s="1">
        <f>IFERROR(__xludf.DUMMYFUNCTION("""COMPUTED_VALUE"""),24.61)</f>
        <v>24.61</v>
      </c>
      <c r="D1039" s="1">
        <f>IFERROR(__xludf.DUMMYFUNCTION("""COMPUTED_VALUE"""),24.12)</f>
        <v>24.12</v>
      </c>
      <c r="E1039" s="1">
        <f>IFERROR(__xludf.DUMMYFUNCTION("""COMPUTED_VALUE"""),24.45)</f>
        <v>24.45</v>
      </c>
      <c r="F1039" s="1">
        <f>IFERROR(__xludf.DUMMYFUNCTION("""COMPUTED_VALUE"""),282438.0)</f>
        <v>282438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IFERROR(__xludf.DUMMYFUNCTION("""COMPUTED_VALUE"""),24.29)</f>
        <v>24.29</v>
      </c>
      <c r="C1040" s="1">
        <f>IFERROR(__xludf.DUMMYFUNCTION("""COMPUTED_VALUE"""),24.51)</f>
        <v>24.51</v>
      </c>
      <c r="D1040" s="1">
        <f>IFERROR(__xludf.DUMMYFUNCTION("""COMPUTED_VALUE"""),23.84)</f>
        <v>23.84</v>
      </c>
      <c r="E1040" s="1">
        <f>IFERROR(__xludf.DUMMYFUNCTION("""COMPUTED_VALUE"""),23.9)</f>
        <v>23.9</v>
      </c>
      <c r="F1040" s="1">
        <f>IFERROR(__xludf.DUMMYFUNCTION("""COMPUTED_VALUE"""),643474.0)</f>
        <v>643474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IFERROR(__xludf.DUMMYFUNCTION("""COMPUTED_VALUE"""),23.94)</f>
        <v>23.94</v>
      </c>
      <c r="C1041" s="1">
        <f>IFERROR(__xludf.DUMMYFUNCTION("""COMPUTED_VALUE"""),24.18)</f>
        <v>24.18</v>
      </c>
      <c r="D1041" s="1">
        <f>IFERROR(__xludf.DUMMYFUNCTION("""COMPUTED_VALUE"""),23.5)</f>
        <v>23.5</v>
      </c>
      <c r="E1041" s="1">
        <f>IFERROR(__xludf.DUMMYFUNCTION("""COMPUTED_VALUE"""),23.76)</f>
        <v>23.76</v>
      </c>
      <c r="F1041" s="1">
        <f>IFERROR(__xludf.DUMMYFUNCTION("""COMPUTED_VALUE"""),538546.0)</f>
        <v>538546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IFERROR(__xludf.DUMMYFUNCTION("""COMPUTED_VALUE"""),23.89)</f>
        <v>23.89</v>
      </c>
      <c r="C1042" s="1">
        <f>IFERROR(__xludf.DUMMYFUNCTION("""COMPUTED_VALUE"""),24.34)</f>
        <v>24.34</v>
      </c>
      <c r="D1042" s="1">
        <f>IFERROR(__xludf.DUMMYFUNCTION("""COMPUTED_VALUE"""),23.83)</f>
        <v>23.83</v>
      </c>
      <c r="E1042" s="1">
        <f>IFERROR(__xludf.DUMMYFUNCTION("""COMPUTED_VALUE"""),24.11)</f>
        <v>24.11</v>
      </c>
      <c r="F1042" s="1">
        <f>IFERROR(__xludf.DUMMYFUNCTION("""COMPUTED_VALUE"""),423505.0)</f>
        <v>423505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IFERROR(__xludf.DUMMYFUNCTION("""COMPUTED_VALUE"""),24.09)</f>
        <v>24.09</v>
      </c>
      <c r="C1043" s="1">
        <f>IFERROR(__xludf.DUMMYFUNCTION("""COMPUTED_VALUE"""),24.79)</f>
        <v>24.79</v>
      </c>
      <c r="D1043" s="1">
        <f>IFERROR(__xludf.DUMMYFUNCTION("""COMPUTED_VALUE"""),23.96)</f>
        <v>23.96</v>
      </c>
      <c r="E1043" s="1">
        <f>IFERROR(__xludf.DUMMYFUNCTION("""COMPUTED_VALUE"""),24.75)</f>
        <v>24.75</v>
      </c>
      <c r="F1043" s="1">
        <f>IFERROR(__xludf.DUMMYFUNCTION("""COMPUTED_VALUE"""),332714.0)</f>
        <v>332714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IFERROR(__xludf.DUMMYFUNCTION("""COMPUTED_VALUE"""),24.77)</f>
        <v>24.77</v>
      </c>
      <c r="C1044" s="1">
        <f>IFERROR(__xludf.DUMMYFUNCTION("""COMPUTED_VALUE"""),24.97)</f>
        <v>24.97</v>
      </c>
      <c r="D1044" s="1">
        <f>IFERROR(__xludf.DUMMYFUNCTION("""COMPUTED_VALUE"""),24.47)</f>
        <v>24.47</v>
      </c>
      <c r="E1044" s="1">
        <f>IFERROR(__xludf.DUMMYFUNCTION("""COMPUTED_VALUE"""),24.57)</f>
        <v>24.57</v>
      </c>
      <c r="F1044" s="1">
        <f>IFERROR(__xludf.DUMMYFUNCTION("""COMPUTED_VALUE"""),371597.0)</f>
        <v>371597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IFERROR(__xludf.DUMMYFUNCTION("""COMPUTED_VALUE"""),24.69)</f>
        <v>24.69</v>
      </c>
      <c r="C1045" s="1">
        <f>IFERROR(__xludf.DUMMYFUNCTION("""COMPUTED_VALUE"""),24.95)</f>
        <v>24.95</v>
      </c>
      <c r="D1045" s="1">
        <f>IFERROR(__xludf.DUMMYFUNCTION("""COMPUTED_VALUE"""),24.52)</f>
        <v>24.52</v>
      </c>
      <c r="E1045" s="1">
        <f>IFERROR(__xludf.DUMMYFUNCTION("""COMPUTED_VALUE"""),24.77)</f>
        <v>24.77</v>
      </c>
      <c r="F1045" s="1">
        <f>IFERROR(__xludf.DUMMYFUNCTION("""COMPUTED_VALUE"""),197302.0)</f>
        <v>197302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IFERROR(__xludf.DUMMYFUNCTION("""COMPUTED_VALUE"""),24.68)</f>
        <v>24.68</v>
      </c>
      <c r="C1046" s="1">
        <f>IFERROR(__xludf.DUMMYFUNCTION("""COMPUTED_VALUE"""),25.24)</f>
        <v>25.24</v>
      </c>
      <c r="D1046" s="1">
        <f>IFERROR(__xludf.DUMMYFUNCTION("""COMPUTED_VALUE"""),24.5)</f>
        <v>24.5</v>
      </c>
      <c r="E1046" s="1">
        <f>IFERROR(__xludf.DUMMYFUNCTION("""COMPUTED_VALUE"""),25.24)</f>
        <v>25.24</v>
      </c>
      <c r="F1046" s="1">
        <f>IFERROR(__xludf.DUMMYFUNCTION("""COMPUTED_VALUE"""),300598.0)</f>
        <v>300598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IFERROR(__xludf.DUMMYFUNCTION("""COMPUTED_VALUE"""),25.35)</f>
        <v>25.35</v>
      </c>
      <c r="C1047" s="1">
        <f>IFERROR(__xludf.DUMMYFUNCTION("""COMPUTED_VALUE"""),25.73)</f>
        <v>25.73</v>
      </c>
      <c r="D1047" s="1">
        <f>IFERROR(__xludf.DUMMYFUNCTION("""COMPUTED_VALUE"""),25.14)</f>
        <v>25.14</v>
      </c>
      <c r="E1047" s="1">
        <f>IFERROR(__xludf.DUMMYFUNCTION("""COMPUTED_VALUE"""),25.41)</f>
        <v>25.41</v>
      </c>
      <c r="F1047" s="1">
        <f>IFERROR(__xludf.DUMMYFUNCTION("""COMPUTED_VALUE"""),505336.0)</f>
        <v>505336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IFERROR(__xludf.DUMMYFUNCTION("""COMPUTED_VALUE"""),25.1)</f>
        <v>25.1</v>
      </c>
      <c r="C1048" s="1">
        <f>IFERROR(__xludf.DUMMYFUNCTION("""COMPUTED_VALUE"""),25.58)</f>
        <v>25.58</v>
      </c>
      <c r="D1048" s="1">
        <f>IFERROR(__xludf.DUMMYFUNCTION("""COMPUTED_VALUE"""),24.72)</f>
        <v>24.72</v>
      </c>
      <c r="E1048" s="1">
        <f>IFERROR(__xludf.DUMMYFUNCTION("""COMPUTED_VALUE"""),24.99)</f>
        <v>24.99</v>
      </c>
      <c r="F1048" s="1">
        <f>IFERROR(__xludf.DUMMYFUNCTION("""COMPUTED_VALUE"""),338347.0)</f>
        <v>338347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IFERROR(__xludf.DUMMYFUNCTION("""COMPUTED_VALUE"""),25.4)</f>
        <v>25.4</v>
      </c>
      <c r="C1049" s="1">
        <f>IFERROR(__xludf.DUMMYFUNCTION("""COMPUTED_VALUE"""),26.31)</f>
        <v>26.31</v>
      </c>
      <c r="D1049" s="1">
        <f>IFERROR(__xludf.DUMMYFUNCTION("""COMPUTED_VALUE"""),25.4)</f>
        <v>25.4</v>
      </c>
      <c r="E1049" s="1">
        <f>IFERROR(__xludf.DUMMYFUNCTION("""COMPUTED_VALUE"""),25.8)</f>
        <v>25.8</v>
      </c>
      <c r="F1049" s="1">
        <f>IFERROR(__xludf.DUMMYFUNCTION("""COMPUTED_VALUE"""),617236.0)</f>
        <v>617236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IFERROR(__xludf.DUMMYFUNCTION("""COMPUTED_VALUE"""),25.72)</f>
        <v>25.72</v>
      </c>
      <c r="C1050" s="1">
        <f>IFERROR(__xludf.DUMMYFUNCTION("""COMPUTED_VALUE"""),25.97)</f>
        <v>25.97</v>
      </c>
      <c r="D1050" s="1">
        <f>IFERROR(__xludf.DUMMYFUNCTION("""COMPUTED_VALUE"""),25.17)</f>
        <v>25.17</v>
      </c>
      <c r="E1050" s="1">
        <f>IFERROR(__xludf.DUMMYFUNCTION("""COMPUTED_VALUE"""),25.29)</f>
        <v>25.29</v>
      </c>
      <c r="F1050" s="1">
        <f>IFERROR(__xludf.DUMMYFUNCTION("""COMPUTED_VALUE"""),479113.0)</f>
        <v>479113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IFERROR(__xludf.DUMMYFUNCTION("""COMPUTED_VALUE"""),25.34)</f>
        <v>25.34</v>
      </c>
      <c r="C1051" s="1">
        <f>IFERROR(__xludf.DUMMYFUNCTION("""COMPUTED_VALUE"""),25.64)</f>
        <v>25.64</v>
      </c>
      <c r="D1051" s="1">
        <f>IFERROR(__xludf.DUMMYFUNCTION("""COMPUTED_VALUE"""),25.31)</f>
        <v>25.31</v>
      </c>
      <c r="E1051" s="1">
        <f>IFERROR(__xludf.DUMMYFUNCTION("""COMPUTED_VALUE"""),25.41)</f>
        <v>25.41</v>
      </c>
      <c r="F1051" s="1">
        <f>IFERROR(__xludf.DUMMYFUNCTION("""COMPUTED_VALUE"""),519709.0)</f>
        <v>519709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IFERROR(__xludf.DUMMYFUNCTION("""COMPUTED_VALUE"""),25.61)</f>
        <v>25.61</v>
      </c>
      <c r="C1052" s="1">
        <f>IFERROR(__xludf.DUMMYFUNCTION("""COMPUTED_VALUE"""),25.94)</f>
        <v>25.94</v>
      </c>
      <c r="D1052" s="1">
        <f>IFERROR(__xludf.DUMMYFUNCTION("""COMPUTED_VALUE"""),25.48)</f>
        <v>25.48</v>
      </c>
      <c r="E1052" s="1">
        <f>IFERROR(__xludf.DUMMYFUNCTION("""COMPUTED_VALUE"""),25.81)</f>
        <v>25.81</v>
      </c>
      <c r="F1052" s="1">
        <f>IFERROR(__xludf.DUMMYFUNCTION("""COMPUTED_VALUE"""),334266.0)</f>
        <v>334266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IFERROR(__xludf.DUMMYFUNCTION("""COMPUTED_VALUE"""),25.67)</f>
        <v>25.67</v>
      </c>
      <c r="C1053" s="1">
        <f>IFERROR(__xludf.DUMMYFUNCTION("""COMPUTED_VALUE"""),25.96)</f>
        <v>25.96</v>
      </c>
      <c r="D1053" s="1">
        <f>IFERROR(__xludf.DUMMYFUNCTION("""COMPUTED_VALUE"""),25.62)</f>
        <v>25.62</v>
      </c>
      <c r="E1053" s="1">
        <f>IFERROR(__xludf.DUMMYFUNCTION("""COMPUTED_VALUE"""),25.78)</f>
        <v>25.78</v>
      </c>
      <c r="F1053" s="1">
        <f>IFERROR(__xludf.DUMMYFUNCTION("""COMPUTED_VALUE"""),163336.0)</f>
        <v>163336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IFERROR(__xludf.DUMMYFUNCTION("""COMPUTED_VALUE"""),25.78)</f>
        <v>25.78</v>
      </c>
      <c r="C1054" s="1">
        <f>IFERROR(__xludf.DUMMYFUNCTION("""COMPUTED_VALUE"""),25.78)</f>
        <v>25.78</v>
      </c>
      <c r="D1054" s="1">
        <f>IFERROR(__xludf.DUMMYFUNCTION("""COMPUTED_VALUE"""),25.32)</f>
        <v>25.32</v>
      </c>
      <c r="E1054" s="1">
        <f>IFERROR(__xludf.DUMMYFUNCTION("""COMPUTED_VALUE"""),25.64)</f>
        <v>25.64</v>
      </c>
      <c r="F1054" s="1">
        <f>IFERROR(__xludf.DUMMYFUNCTION("""COMPUTED_VALUE"""),218558.0)</f>
        <v>218558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IFERROR(__xludf.DUMMYFUNCTION("""COMPUTED_VALUE"""),25.45)</f>
        <v>25.45</v>
      </c>
      <c r="C1055" s="1">
        <f>IFERROR(__xludf.DUMMYFUNCTION("""COMPUTED_VALUE"""),25.9)</f>
        <v>25.9</v>
      </c>
      <c r="D1055" s="1">
        <f>IFERROR(__xludf.DUMMYFUNCTION("""COMPUTED_VALUE"""),25.15)</f>
        <v>25.15</v>
      </c>
      <c r="E1055" s="1">
        <f>IFERROR(__xludf.DUMMYFUNCTION("""COMPUTED_VALUE"""),25.84)</f>
        <v>25.84</v>
      </c>
      <c r="F1055" s="1">
        <f>IFERROR(__xludf.DUMMYFUNCTION("""COMPUTED_VALUE"""),294942.0)</f>
        <v>294942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IFERROR(__xludf.DUMMYFUNCTION("""COMPUTED_VALUE"""),25.82)</f>
        <v>25.82</v>
      </c>
      <c r="C1056" s="1">
        <f>IFERROR(__xludf.DUMMYFUNCTION("""COMPUTED_VALUE"""),25.98)</f>
        <v>25.98</v>
      </c>
      <c r="D1056" s="1">
        <f>IFERROR(__xludf.DUMMYFUNCTION("""COMPUTED_VALUE"""),25.43)</f>
        <v>25.43</v>
      </c>
      <c r="E1056" s="1">
        <f>IFERROR(__xludf.DUMMYFUNCTION("""COMPUTED_VALUE"""),25.55)</f>
        <v>25.55</v>
      </c>
      <c r="F1056" s="1">
        <f>IFERROR(__xludf.DUMMYFUNCTION("""COMPUTED_VALUE"""),233277.0)</f>
        <v>233277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IFERROR(__xludf.DUMMYFUNCTION("""COMPUTED_VALUE"""),25.4)</f>
        <v>25.4</v>
      </c>
      <c r="C1057" s="1">
        <f>IFERROR(__xludf.DUMMYFUNCTION("""COMPUTED_VALUE"""),25.65)</f>
        <v>25.65</v>
      </c>
      <c r="D1057" s="1">
        <f>IFERROR(__xludf.DUMMYFUNCTION("""COMPUTED_VALUE"""),25.16)</f>
        <v>25.16</v>
      </c>
      <c r="E1057" s="1">
        <f>IFERROR(__xludf.DUMMYFUNCTION("""COMPUTED_VALUE"""),25.44)</f>
        <v>25.44</v>
      </c>
      <c r="F1057" s="1">
        <f>IFERROR(__xludf.DUMMYFUNCTION("""COMPUTED_VALUE"""),299402.0)</f>
        <v>299402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IFERROR(__xludf.DUMMYFUNCTION("""COMPUTED_VALUE"""),25.68)</f>
        <v>25.68</v>
      </c>
      <c r="C1058" s="1">
        <f>IFERROR(__xludf.DUMMYFUNCTION("""COMPUTED_VALUE"""),26.03)</f>
        <v>26.03</v>
      </c>
      <c r="D1058" s="1">
        <f>IFERROR(__xludf.DUMMYFUNCTION("""COMPUTED_VALUE"""),25.68)</f>
        <v>25.68</v>
      </c>
      <c r="E1058" s="1">
        <f>IFERROR(__xludf.DUMMYFUNCTION("""COMPUTED_VALUE"""),25.87)</f>
        <v>25.87</v>
      </c>
      <c r="F1058" s="1">
        <f>IFERROR(__xludf.DUMMYFUNCTION("""COMPUTED_VALUE"""),327111.0)</f>
        <v>327111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IFERROR(__xludf.DUMMYFUNCTION("""COMPUTED_VALUE"""),25.96)</f>
        <v>25.96</v>
      </c>
      <c r="C1059" s="1">
        <f>IFERROR(__xludf.DUMMYFUNCTION("""COMPUTED_VALUE"""),26.2)</f>
        <v>26.2</v>
      </c>
      <c r="D1059" s="1">
        <f>IFERROR(__xludf.DUMMYFUNCTION("""COMPUTED_VALUE"""),25.85)</f>
        <v>25.85</v>
      </c>
      <c r="E1059" s="1">
        <f>IFERROR(__xludf.DUMMYFUNCTION("""COMPUTED_VALUE"""),26.02)</f>
        <v>26.02</v>
      </c>
      <c r="F1059" s="1">
        <f>IFERROR(__xludf.DUMMYFUNCTION("""COMPUTED_VALUE"""),266310.0)</f>
        <v>266310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IFERROR(__xludf.DUMMYFUNCTION("""COMPUTED_VALUE"""),25.99)</f>
        <v>25.99</v>
      </c>
      <c r="C1060" s="1">
        <f>IFERROR(__xludf.DUMMYFUNCTION("""COMPUTED_VALUE"""),26.14)</f>
        <v>26.14</v>
      </c>
      <c r="D1060" s="1">
        <f>IFERROR(__xludf.DUMMYFUNCTION("""COMPUTED_VALUE"""),25.75)</f>
        <v>25.75</v>
      </c>
      <c r="E1060" s="1">
        <f>IFERROR(__xludf.DUMMYFUNCTION("""COMPUTED_VALUE"""),25.89)</f>
        <v>25.89</v>
      </c>
      <c r="F1060" s="1">
        <f>IFERROR(__xludf.DUMMYFUNCTION("""COMPUTED_VALUE"""),268387.0)</f>
        <v>268387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IFERROR(__xludf.DUMMYFUNCTION("""COMPUTED_VALUE"""),25.8)</f>
        <v>25.8</v>
      </c>
      <c r="C1061" s="1">
        <f>IFERROR(__xludf.DUMMYFUNCTION("""COMPUTED_VALUE"""),26.26)</f>
        <v>26.26</v>
      </c>
      <c r="D1061" s="1">
        <f>IFERROR(__xludf.DUMMYFUNCTION("""COMPUTED_VALUE"""),25.8)</f>
        <v>25.8</v>
      </c>
      <c r="E1061" s="1">
        <f>IFERROR(__xludf.DUMMYFUNCTION("""COMPUTED_VALUE"""),26.23)</f>
        <v>26.23</v>
      </c>
      <c r="F1061" s="1">
        <f>IFERROR(__xludf.DUMMYFUNCTION("""COMPUTED_VALUE"""),329785.0)</f>
        <v>329785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IFERROR(__xludf.DUMMYFUNCTION("""COMPUTED_VALUE"""),26.25)</f>
        <v>26.25</v>
      </c>
      <c r="C1062" s="1">
        <f>IFERROR(__xludf.DUMMYFUNCTION("""COMPUTED_VALUE"""),26.49)</f>
        <v>26.49</v>
      </c>
      <c r="D1062" s="1">
        <f>IFERROR(__xludf.DUMMYFUNCTION("""COMPUTED_VALUE"""),26.01)</f>
        <v>26.01</v>
      </c>
      <c r="E1062" s="1">
        <f>IFERROR(__xludf.DUMMYFUNCTION("""COMPUTED_VALUE"""),26.07)</f>
        <v>26.07</v>
      </c>
      <c r="F1062" s="1">
        <f>IFERROR(__xludf.DUMMYFUNCTION("""COMPUTED_VALUE"""),1081363.0)</f>
        <v>1081363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IFERROR(__xludf.DUMMYFUNCTION("""COMPUTED_VALUE"""),26.19)</f>
        <v>26.19</v>
      </c>
      <c r="C1063" s="1">
        <f>IFERROR(__xludf.DUMMYFUNCTION("""COMPUTED_VALUE"""),26.42)</f>
        <v>26.42</v>
      </c>
      <c r="D1063" s="1">
        <f>IFERROR(__xludf.DUMMYFUNCTION("""COMPUTED_VALUE"""),25.81)</f>
        <v>25.81</v>
      </c>
      <c r="E1063" s="1">
        <f>IFERROR(__xludf.DUMMYFUNCTION("""COMPUTED_VALUE"""),25.82)</f>
        <v>25.82</v>
      </c>
      <c r="F1063" s="1">
        <f>IFERROR(__xludf.DUMMYFUNCTION("""COMPUTED_VALUE"""),473206.0)</f>
        <v>473206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IFERROR(__xludf.DUMMYFUNCTION("""COMPUTED_VALUE"""),25.94)</f>
        <v>25.94</v>
      </c>
      <c r="C1064" s="1">
        <f>IFERROR(__xludf.DUMMYFUNCTION("""COMPUTED_VALUE"""),26.04)</f>
        <v>26.04</v>
      </c>
      <c r="D1064" s="1">
        <f>IFERROR(__xludf.DUMMYFUNCTION("""COMPUTED_VALUE"""),25.63)</f>
        <v>25.63</v>
      </c>
      <c r="E1064" s="1">
        <f>IFERROR(__xludf.DUMMYFUNCTION("""COMPUTED_VALUE"""),25.73)</f>
        <v>25.73</v>
      </c>
      <c r="F1064" s="1">
        <f>IFERROR(__xludf.DUMMYFUNCTION("""COMPUTED_VALUE"""),458329.0)</f>
        <v>458329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IFERROR(__xludf.DUMMYFUNCTION("""COMPUTED_VALUE"""),25.98)</f>
        <v>25.98</v>
      </c>
      <c r="C1065" s="1">
        <f>IFERROR(__xludf.DUMMYFUNCTION("""COMPUTED_VALUE"""),26.06)</f>
        <v>26.06</v>
      </c>
      <c r="D1065" s="1">
        <f>IFERROR(__xludf.DUMMYFUNCTION("""COMPUTED_VALUE"""),25.28)</f>
        <v>25.28</v>
      </c>
      <c r="E1065" s="1">
        <f>IFERROR(__xludf.DUMMYFUNCTION("""COMPUTED_VALUE"""),25.28)</f>
        <v>25.28</v>
      </c>
      <c r="F1065" s="1">
        <f>IFERROR(__xludf.DUMMYFUNCTION("""COMPUTED_VALUE"""),309817.0)</f>
        <v>309817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IFERROR(__xludf.DUMMYFUNCTION("""COMPUTED_VALUE"""),25.26)</f>
        <v>25.26</v>
      </c>
      <c r="C1066" s="1">
        <f>IFERROR(__xludf.DUMMYFUNCTION("""COMPUTED_VALUE"""),25.34)</f>
        <v>25.34</v>
      </c>
      <c r="D1066" s="1">
        <f>IFERROR(__xludf.DUMMYFUNCTION("""COMPUTED_VALUE"""),24.72)</f>
        <v>24.72</v>
      </c>
      <c r="E1066" s="1">
        <f>IFERROR(__xludf.DUMMYFUNCTION("""COMPUTED_VALUE"""),24.78)</f>
        <v>24.78</v>
      </c>
      <c r="F1066" s="1">
        <f>IFERROR(__xludf.DUMMYFUNCTION("""COMPUTED_VALUE"""),369765.0)</f>
        <v>369765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IFERROR(__xludf.DUMMYFUNCTION("""COMPUTED_VALUE"""),24.79)</f>
        <v>24.79</v>
      </c>
      <c r="C1067" s="1">
        <f>IFERROR(__xludf.DUMMYFUNCTION("""COMPUTED_VALUE"""),25.4)</f>
        <v>25.4</v>
      </c>
      <c r="D1067" s="1">
        <f>IFERROR(__xludf.DUMMYFUNCTION("""COMPUTED_VALUE"""),24.51)</f>
        <v>24.51</v>
      </c>
      <c r="E1067" s="1">
        <f>IFERROR(__xludf.DUMMYFUNCTION("""COMPUTED_VALUE"""),24.52)</f>
        <v>24.52</v>
      </c>
      <c r="F1067" s="1">
        <f>IFERROR(__xludf.DUMMYFUNCTION("""COMPUTED_VALUE"""),341630.0)</f>
        <v>341630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IFERROR(__xludf.DUMMYFUNCTION("""COMPUTED_VALUE"""),24.74)</f>
        <v>24.74</v>
      </c>
      <c r="C1068" s="1">
        <f>IFERROR(__xludf.DUMMYFUNCTION("""COMPUTED_VALUE"""),25.26)</f>
        <v>25.26</v>
      </c>
      <c r="D1068" s="1">
        <f>IFERROR(__xludf.DUMMYFUNCTION("""COMPUTED_VALUE"""),24.74)</f>
        <v>24.74</v>
      </c>
      <c r="E1068" s="1">
        <f>IFERROR(__xludf.DUMMYFUNCTION("""COMPUTED_VALUE"""),25.19)</f>
        <v>25.19</v>
      </c>
      <c r="F1068" s="1">
        <f>IFERROR(__xludf.DUMMYFUNCTION("""COMPUTED_VALUE"""),380985.0)</f>
        <v>380985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IFERROR(__xludf.DUMMYFUNCTION("""COMPUTED_VALUE"""),25.3)</f>
        <v>25.3</v>
      </c>
      <c r="C1069" s="1">
        <f>IFERROR(__xludf.DUMMYFUNCTION("""COMPUTED_VALUE"""),26.51)</f>
        <v>26.51</v>
      </c>
      <c r="D1069" s="1">
        <f>IFERROR(__xludf.DUMMYFUNCTION("""COMPUTED_VALUE"""),25.17)</f>
        <v>25.17</v>
      </c>
      <c r="E1069" s="1">
        <f>IFERROR(__xludf.DUMMYFUNCTION("""COMPUTED_VALUE"""),26.28)</f>
        <v>26.28</v>
      </c>
      <c r="F1069" s="1">
        <f>IFERROR(__xludf.DUMMYFUNCTION("""COMPUTED_VALUE"""),708630.0)</f>
        <v>708630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IFERROR(__xludf.DUMMYFUNCTION("""COMPUTED_VALUE"""),26.3)</f>
        <v>26.3</v>
      </c>
      <c r="C1070" s="1">
        <f>IFERROR(__xludf.DUMMYFUNCTION("""COMPUTED_VALUE"""),26.68)</f>
        <v>26.68</v>
      </c>
      <c r="D1070" s="1">
        <f>IFERROR(__xludf.DUMMYFUNCTION("""COMPUTED_VALUE"""),25.88)</f>
        <v>25.88</v>
      </c>
      <c r="E1070" s="1">
        <f>IFERROR(__xludf.DUMMYFUNCTION("""COMPUTED_VALUE"""),26.07)</f>
        <v>26.07</v>
      </c>
      <c r="F1070" s="1">
        <f>IFERROR(__xludf.DUMMYFUNCTION("""COMPUTED_VALUE"""),334750.0)</f>
        <v>334750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IFERROR(__xludf.DUMMYFUNCTION("""COMPUTED_VALUE"""),26.16)</f>
        <v>26.16</v>
      </c>
      <c r="C1071" s="1">
        <f>IFERROR(__xludf.DUMMYFUNCTION("""COMPUTED_VALUE"""),26.41)</f>
        <v>26.41</v>
      </c>
      <c r="D1071" s="1">
        <f>IFERROR(__xludf.DUMMYFUNCTION("""COMPUTED_VALUE"""),26.02)</f>
        <v>26.02</v>
      </c>
      <c r="E1071" s="1">
        <f>IFERROR(__xludf.DUMMYFUNCTION("""COMPUTED_VALUE"""),26.15)</f>
        <v>26.15</v>
      </c>
      <c r="F1071" s="1">
        <f>IFERROR(__xludf.DUMMYFUNCTION("""COMPUTED_VALUE"""),316362.0)</f>
        <v>316362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IFERROR(__xludf.DUMMYFUNCTION("""COMPUTED_VALUE"""),26.22)</f>
        <v>26.22</v>
      </c>
      <c r="C1072" s="1">
        <f>IFERROR(__xludf.DUMMYFUNCTION("""COMPUTED_VALUE"""),26.43)</f>
        <v>26.43</v>
      </c>
      <c r="D1072" s="1">
        <f>IFERROR(__xludf.DUMMYFUNCTION("""COMPUTED_VALUE"""),25.23)</f>
        <v>25.23</v>
      </c>
      <c r="E1072" s="1">
        <f>IFERROR(__xludf.DUMMYFUNCTION("""COMPUTED_VALUE"""),25.25)</f>
        <v>25.25</v>
      </c>
      <c r="F1072" s="1">
        <f>IFERROR(__xludf.DUMMYFUNCTION("""COMPUTED_VALUE"""),369552.0)</f>
        <v>369552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IFERROR(__xludf.DUMMYFUNCTION("""COMPUTED_VALUE"""),25.13)</f>
        <v>25.13</v>
      </c>
      <c r="C1073" s="1">
        <f>IFERROR(__xludf.DUMMYFUNCTION("""COMPUTED_VALUE"""),25.39)</f>
        <v>25.39</v>
      </c>
      <c r="D1073" s="1">
        <f>IFERROR(__xludf.DUMMYFUNCTION("""COMPUTED_VALUE"""),24.67)</f>
        <v>24.67</v>
      </c>
      <c r="E1073" s="1">
        <f>IFERROR(__xludf.DUMMYFUNCTION("""COMPUTED_VALUE"""),24.87)</f>
        <v>24.87</v>
      </c>
      <c r="F1073" s="1">
        <f>IFERROR(__xludf.DUMMYFUNCTION("""COMPUTED_VALUE"""),490764.0)</f>
        <v>490764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IFERROR(__xludf.DUMMYFUNCTION("""COMPUTED_VALUE"""),24.96)</f>
        <v>24.96</v>
      </c>
      <c r="C1074" s="1">
        <f>IFERROR(__xludf.DUMMYFUNCTION("""COMPUTED_VALUE"""),25.33)</f>
        <v>25.33</v>
      </c>
      <c r="D1074" s="1">
        <f>IFERROR(__xludf.DUMMYFUNCTION("""COMPUTED_VALUE"""),24.71)</f>
        <v>24.71</v>
      </c>
      <c r="E1074" s="1">
        <f>IFERROR(__xludf.DUMMYFUNCTION("""COMPUTED_VALUE"""),25.16)</f>
        <v>25.16</v>
      </c>
      <c r="F1074" s="1">
        <f>IFERROR(__xludf.DUMMYFUNCTION("""COMPUTED_VALUE"""),321585.0)</f>
        <v>321585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IFERROR(__xludf.DUMMYFUNCTION("""COMPUTED_VALUE"""),25.31)</f>
        <v>25.31</v>
      </c>
      <c r="C1075" s="1">
        <f>IFERROR(__xludf.DUMMYFUNCTION("""COMPUTED_VALUE"""),25.7)</f>
        <v>25.7</v>
      </c>
      <c r="D1075" s="1">
        <f>IFERROR(__xludf.DUMMYFUNCTION("""COMPUTED_VALUE"""),25.12)</f>
        <v>25.12</v>
      </c>
      <c r="E1075" s="1">
        <f>IFERROR(__xludf.DUMMYFUNCTION("""COMPUTED_VALUE"""),25.47)</f>
        <v>25.47</v>
      </c>
      <c r="F1075" s="1">
        <f>IFERROR(__xludf.DUMMYFUNCTION("""COMPUTED_VALUE"""),427477.0)</f>
        <v>427477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IFERROR(__xludf.DUMMYFUNCTION("""COMPUTED_VALUE"""),25.4)</f>
        <v>25.4</v>
      </c>
      <c r="C1076" s="1">
        <f>IFERROR(__xludf.DUMMYFUNCTION("""COMPUTED_VALUE"""),25.4)</f>
        <v>25.4</v>
      </c>
      <c r="D1076" s="1">
        <f>IFERROR(__xludf.DUMMYFUNCTION("""COMPUTED_VALUE"""),24.43)</f>
        <v>24.43</v>
      </c>
      <c r="E1076" s="1">
        <f>IFERROR(__xludf.DUMMYFUNCTION("""COMPUTED_VALUE"""),24.64)</f>
        <v>24.64</v>
      </c>
      <c r="F1076" s="1">
        <f>IFERROR(__xludf.DUMMYFUNCTION("""COMPUTED_VALUE"""),570574.0)</f>
        <v>570574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IFERROR(__xludf.DUMMYFUNCTION("""COMPUTED_VALUE"""),24.37)</f>
        <v>24.37</v>
      </c>
      <c r="C1077" s="1">
        <f>IFERROR(__xludf.DUMMYFUNCTION("""COMPUTED_VALUE"""),24.79)</f>
        <v>24.79</v>
      </c>
      <c r="D1077" s="1">
        <f>IFERROR(__xludf.DUMMYFUNCTION("""COMPUTED_VALUE"""),24.09)</f>
        <v>24.09</v>
      </c>
      <c r="E1077" s="1">
        <f>IFERROR(__xludf.DUMMYFUNCTION("""COMPUTED_VALUE"""),24.33)</f>
        <v>24.33</v>
      </c>
      <c r="F1077" s="1">
        <f>IFERROR(__xludf.DUMMYFUNCTION("""COMPUTED_VALUE"""),339057.0)</f>
        <v>339057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IFERROR(__xludf.DUMMYFUNCTION("""COMPUTED_VALUE"""),24.62)</f>
        <v>24.62</v>
      </c>
      <c r="C1078" s="1">
        <f>IFERROR(__xludf.DUMMYFUNCTION("""COMPUTED_VALUE"""),24.65)</f>
        <v>24.65</v>
      </c>
      <c r="D1078" s="1">
        <f>IFERROR(__xludf.DUMMYFUNCTION("""COMPUTED_VALUE"""),23.85)</f>
        <v>23.85</v>
      </c>
      <c r="E1078" s="1">
        <f>IFERROR(__xludf.DUMMYFUNCTION("""COMPUTED_VALUE"""),24.18)</f>
        <v>24.18</v>
      </c>
      <c r="F1078" s="1">
        <f>IFERROR(__xludf.DUMMYFUNCTION("""COMPUTED_VALUE"""),441853.0)</f>
        <v>441853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IFERROR(__xludf.DUMMYFUNCTION("""COMPUTED_VALUE"""),24.27)</f>
        <v>24.27</v>
      </c>
      <c r="C1079" s="1">
        <f>IFERROR(__xludf.DUMMYFUNCTION("""COMPUTED_VALUE"""),24.45)</f>
        <v>24.45</v>
      </c>
      <c r="D1079" s="1">
        <f>IFERROR(__xludf.DUMMYFUNCTION("""COMPUTED_VALUE"""),23.69)</f>
        <v>23.69</v>
      </c>
      <c r="E1079" s="1">
        <f>IFERROR(__xludf.DUMMYFUNCTION("""COMPUTED_VALUE"""),24.2)</f>
        <v>24.2</v>
      </c>
      <c r="F1079" s="1">
        <f>IFERROR(__xludf.DUMMYFUNCTION("""COMPUTED_VALUE"""),356943.0)</f>
        <v>356943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IFERROR(__xludf.DUMMYFUNCTION("""COMPUTED_VALUE"""),24.4)</f>
        <v>24.4</v>
      </c>
      <c r="C1080" s="1">
        <f>IFERROR(__xludf.DUMMYFUNCTION("""COMPUTED_VALUE"""),24.68)</f>
        <v>24.68</v>
      </c>
      <c r="D1080" s="1">
        <f>IFERROR(__xludf.DUMMYFUNCTION("""COMPUTED_VALUE"""),24.17)</f>
        <v>24.17</v>
      </c>
      <c r="E1080" s="1">
        <f>IFERROR(__xludf.DUMMYFUNCTION("""COMPUTED_VALUE"""),24.61)</f>
        <v>24.61</v>
      </c>
      <c r="F1080" s="1">
        <f>IFERROR(__xludf.DUMMYFUNCTION("""COMPUTED_VALUE"""),337665.0)</f>
        <v>337665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IFERROR(__xludf.DUMMYFUNCTION("""COMPUTED_VALUE"""),24.46)</f>
        <v>24.46</v>
      </c>
      <c r="C1081" s="1">
        <f>IFERROR(__xludf.DUMMYFUNCTION("""COMPUTED_VALUE"""),24.92)</f>
        <v>24.92</v>
      </c>
      <c r="D1081" s="1">
        <f>IFERROR(__xludf.DUMMYFUNCTION("""COMPUTED_VALUE"""),23.93)</f>
        <v>23.93</v>
      </c>
      <c r="E1081" s="1">
        <f>IFERROR(__xludf.DUMMYFUNCTION("""COMPUTED_VALUE"""),24.32)</f>
        <v>24.32</v>
      </c>
      <c r="F1081" s="1">
        <f>IFERROR(__xludf.DUMMYFUNCTION("""COMPUTED_VALUE"""),437260.0)</f>
        <v>437260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IFERROR(__xludf.DUMMYFUNCTION("""COMPUTED_VALUE"""),24.25)</f>
        <v>24.25</v>
      </c>
      <c r="C1082" s="1">
        <f>IFERROR(__xludf.DUMMYFUNCTION("""COMPUTED_VALUE"""),24.48)</f>
        <v>24.48</v>
      </c>
      <c r="D1082" s="1">
        <f>IFERROR(__xludf.DUMMYFUNCTION("""COMPUTED_VALUE"""),23.83)</f>
        <v>23.83</v>
      </c>
      <c r="E1082" s="1">
        <f>IFERROR(__xludf.DUMMYFUNCTION("""COMPUTED_VALUE"""),23.97)</f>
        <v>23.97</v>
      </c>
      <c r="F1082" s="1">
        <f>IFERROR(__xludf.DUMMYFUNCTION("""COMPUTED_VALUE"""),316946.0)</f>
        <v>316946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IFERROR(__xludf.DUMMYFUNCTION("""COMPUTED_VALUE"""),23.92)</f>
        <v>23.92</v>
      </c>
      <c r="C1083" s="1">
        <f>IFERROR(__xludf.DUMMYFUNCTION("""COMPUTED_VALUE"""),24.51)</f>
        <v>24.51</v>
      </c>
      <c r="D1083" s="1">
        <f>IFERROR(__xludf.DUMMYFUNCTION("""COMPUTED_VALUE"""),23.79)</f>
        <v>23.79</v>
      </c>
      <c r="E1083" s="1">
        <f>IFERROR(__xludf.DUMMYFUNCTION("""COMPUTED_VALUE"""),24.28)</f>
        <v>24.28</v>
      </c>
      <c r="F1083" s="1">
        <f>IFERROR(__xludf.DUMMYFUNCTION("""COMPUTED_VALUE"""),308443.0)</f>
        <v>308443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IFERROR(__xludf.DUMMYFUNCTION("""COMPUTED_VALUE"""),24.23)</f>
        <v>24.23</v>
      </c>
      <c r="C1084" s="1">
        <f>IFERROR(__xludf.DUMMYFUNCTION("""COMPUTED_VALUE"""),24.5)</f>
        <v>24.5</v>
      </c>
      <c r="D1084" s="1">
        <f>IFERROR(__xludf.DUMMYFUNCTION("""COMPUTED_VALUE"""),24.2)</f>
        <v>24.2</v>
      </c>
      <c r="E1084" s="1">
        <f>IFERROR(__xludf.DUMMYFUNCTION("""COMPUTED_VALUE"""),24.46)</f>
        <v>24.46</v>
      </c>
      <c r="F1084" s="1">
        <f>IFERROR(__xludf.DUMMYFUNCTION("""COMPUTED_VALUE"""),238239.0)</f>
        <v>238239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IFERROR(__xludf.DUMMYFUNCTION("""COMPUTED_VALUE"""),24.53)</f>
        <v>24.53</v>
      </c>
      <c r="C1085" s="1">
        <f>IFERROR(__xludf.DUMMYFUNCTION("""COMPUTED_VALUE"""),24.69)</f>
        <v>24.69</v>
      </c>
      <c r="D1085" s="1">
        <f>IFERROR(__xludf.DUMMYFUNCTION("""COMPUTED_VALUE"""),24.1)</f>
        <v>24.1</v>
      </c>
      <c r="E1085" s="1">
        <f>IFERROR(__xludf.DUMMYFUNCTION("""COMPUTED_VALUE"""),24.27)</f>
        <v>24.27</v>
      </c>
      <c r="F1085" s="1">
        <f>IFERROR(__xludf.DUMMYFUNCTION("""COMPUTED_VALUE"""),449015.0)</f>
        <v>449015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IFERROR(__xludf.DUMMYFUNCTION("""COMPUTED_VALUE"""),24.13)</f>
        <v>24.13</v>
      </c>
      <c r="C1086" s="1">
        <f>IFERROR(__xludf.DUMMYFUNCTION("""COMPUTED_VALUE"""),24.29)</f>
        <v>24.29</v>
      </c>
      <c r="D1086" s="1">
        <f>IFERROR(__xludf.DUMMYFUNCTION("""COMPUTED_VALUE"""),23.98)</f>
        <v>23.98</v>
      </c>
      <c r="E1086" s="1">
        <f>IFERROR(__xludf.DUMMYFUNCTION("""COMPUTED_VALUE"""),24.05)</f>
        <v>24.05</v>
      </c>
      <c r="F1086" s="1">
        <f>IFERROR(__xludf.DUMMYFUNCTION("""COMPUTED_VALUE"""),406752.0)</f>
        <v>406752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IFERROR(__xludf.DUMMYFUNCTION("""COMPUTED_VALUE"""),24.14)</f>
        <v>24.14</v>
      </c>
      <c r="C1087" s="1">
        <f>IFERROR(__xludf.DUMMYFUNCTION("""COMPUTED_VALUE"""),24.29)</f>
        <v>24.29</v>
      </c>
      <c r="D1087" s="1">
        <f>IFERROR(__xludf.DUMMYFUNCTION("""COMPUTED_VALUE"""),23.63)</f>
        <v>23.63</v>
      </c>
      <c r="E1087" s="1">
        <f>IFERROR(__xludf.DUMMYFUNCTION("""COMPUTED_VALUE"""),23.86)</f>
        <v>23.86</v>
      </c>
      <c r="F1087" s="1">
        <f>IFERROR(__xludf.DUMMYFUNCTION("""COMPUTED_VALUE"""),329126.0)</f>
        <v>329126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IFERROR(__xludf.DUMMYFUNCTION("""COMPUTED_VALUE"""),24.06)</f>
        <v>24.06</v>
      </c>
      <c r="C1088" s="1">
        <f>IFERROR(__xludf.DUMMYFUNCTION("""COMPUTED_VALUE"""),24.07)</f>
        <v>24.07</v>
      </c>
      <c r="D1088" s="1">
        <f>IFERROR(__xludf.DUMMYFUNCTION("""COMPUTED_VALUE"""),23.47)</f>
        <v>23.47</v>
      </c>
      <c r="E1088" s="1">
        <f>IFERROR(__xludf.DUMMYFUNCTION("""COMPUTED_VALUE"""),23.5)</f>
        <v>23.5</v>
      </c>
      <c r="F1088" s="1">
        <f>IFERROR(__xludf.DUMMYFUNCTION("""COMPUTED_VALUE"""),368579.0)</f>
        <v>368579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IFERROR(__xludf.DUMMYFUNCTION("""COMPUTED_VALUE"""),23.37)</f>
        <v>23.37</v>
      </c>
      <c r="C1089" s="1">
        <f>IFERROR(__xludf.DUMMYFUNCTION("""COMPUTED_VALUE"""),23.69)</f>
        <v>23.69</v>
      </c>
      <c r="D1089" s="1">
        <f>IFERROR(__xludf.DUMMYFUNCTION("""COMPUTED_VALUE"""),23.14)</f>
        <v>23.14</v>
      </c>
      <c r="E1089" s="1">
        <f>IFERROR(__xludf.DUMMYFUNCTION("""COMPUTED_VALUE"""),23.6)</f>
        <v>23.6</v>
      </c>
      <c r="F1089" s="1">
        <f>IFERROR(__xludf.DUMMYFUNCTION("""COMPUTED_VALUE"""),323117.0)</f>
        <v>323117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IFERROR(__xludf.DUMMYFUNCTION("""COMPUTED_VALUE"""),23.61)</f>
        <v>23.61</v>
      </c>
      <c r="C1090" s="1">
        <f>IFERROR(__xludf.DUMMYFUNCTION("""COMPUTED_VALUE"""),23.75)</f>
        <v>23.75</v>
      </c>
      <c r="D1090" s="1">
        <f>IFERROR(__xludf.DUMMYFUNCTION("""COMPUTED_VALUE"""),23.09)</f>
        <v>23.09</v>
      </c>
      <c r="E1090" s="1">
        <f>IFERROR(__xludf.DUMMYFUNCTION("""COMPUTED_VALUE"""),23.51)</f>
        <v>23.51</v>
      </c>
      <c r="F1090" s="1">
        <f>IFERROR(__xludf.DUMMYFUNCTION("""COMPUTED_VALUE"""),469176.0)</f>
        <v>469176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IFERROR(__xludf.DUMMYFUNCTION("""COMPUTED_VALUE"""),23.55)</f>
        <v>23.55</v>
      </c>
      <c r="C1091" s="1">
        <f>IFERROR(__xludf.DUMMYFUNCTION("""COMPUTED_VALUE"""),24.15)</f>
        <v>24.15</v>
      </c>
      <c r="D1091" s="1">
        <f>IFERROR(__xludf.DUMMYFUNCTION("""COMPUTED_VALUE"""),23.36)</f>
        <v>23.36</v>
      </c>
      <c r="E1091" s="1">
        <f>IFERROR(__xludf.DUMMYFUNCTION("""COMPUTED_VALUE"""),23.64)</f>
        <v>23.64</v>
      </c>
      <c r="F1091" s="1">
        <f>IFERROR(__xludf.DUMMYFUNCTION("""COMPUTED_VALUE"""),288728.0)</f>
        <v>288728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IFERROR(__xludf.DUMMYFUNCTION("""COMPUTED_VALUE"""),23.45)</f>
        <v>23.45</v>
      </c>
      <c r="C1092" s="1">
        <f>IFERROR(__xludf.DUMMYFUNCTION("""COMPUTED_VALUE"""),23.71)</f>
        <v>23.71</v>
      </c>
      <c r="D1092" s="1">
        <f>IFERROR(__xludf.DUMMYFUNCTION("""COMPUTED_VALUE"""),23.19)</f>
        <v>23.19</v>
      </c>
      <c r="E1092" s="1">
        <f>IFERROR(__xludf.DUMMYFUNCTION("""COMPUTED_VALUE"""),23.53)</f>
        <v>23.53</v>
      </c>
      <c r="F1092" s="1">
        <f>IFERROR(__xludf.DUMMYFUNCTION("""COMPUTED_VALUE"""),294563.0)</f>
        <v>294563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IFERROR(__xludf.DUMMYFUNCTION("""COMPUTED_VALUE"""),23.36)</f>
        <v>23.36</v>
      </c>
      <c r="C1093" s="1">
        <f>IFERROR(__xludf.DUMMYFUNCTION("""COMPUTED_VALUE"""),23.61)</f>
        <v>23.61</v>
      </c>
      <c r="D1093" s="1">
        <f>IFERROR(__xludf.DUMMYFUNCTION("""COMPUTED_VALUE"""),23.0)</f>
        <v>23</v>
      </c>
      <c r="E1093" s="1">
        <f>IFERROR(__xludf.DUMMYFUNCTION("""COMPUTED_VALUE"""),23.1)</f>
        <v>23.1</v>
      </c>
      <c r="F1093" s="1">
        <f>IFERROR(__xludf.DUMMYFUNCTION("""COMPUTED_VALUE"""),266616.0)</f>
        <v>266616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IFERROR(__xludf.DUMMYFUNCTION("""COMPUTED_VALUE"""),23.16)</f>
        <v>23.16</v>
      </c>
      <c r="C1094" s="1">
        <f>IFERROR(__xludf.DUMMYFUNCTION("""COMPUTED_VALUE"""),23.42)</f>
        <v>23.42</v>
      </c>
      <c r="D1094" s="1">
        <f>IFERROR(__xludf.DUMMYFUNCTION("""COMPUTED_VALUE"""),22.89)</f>
        <v>22.89</v>
      </c>
      <c r="E1094" s="1">
        <f>IFERROR(__xludf.DUMMYFUNCTION("""COMPUTED_VALUE"""),23.39)</f>
        <v>23.39</v>
      </c>
      <c r="F1094" s="1">
        <f>IFERROR(__xludf.DUMMYFUNCTION("""COMPUTED_VALUE"""),369668.0)</f>
        <v>369668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IFERROR(__xludf.DUMMYFUNCTION("""COMPUTED_VALUE"""),23.44)</f>
        <v>23.44</v>
      </c>
      <c r="C1095" s="1">
        <f>IFERROR(__xludf.DUMMYFUNCTION("""COMPUTED_VALUE"""),23.7)</f>
        <v>23.7</v>
      </c>
      <c r="D1095" s="1">
        <f>IFERROR(__xludf.DUMMYFUNCTION("""COMPUTED_VALUE"""),23.12)</f>
        <v>23.12</v>
      </c>
      <c r="E1095" s="1">
        <f>IFERROR(__xludf.DUMMYFUNCTION("""COMPUTED_VALUE"""),23.43)</f>
        <v>23.43</v>
      </c>
      <c r="F1095" s="1">
        <f>IFERROR(__xludf.DUMMYFUNCTION("""COMPUTED_VALUE"""),407988.0)</f>
        <v>407988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IFERROR(__xludf.DUMMYFUNCTION("""COMPUTED_VALUE"""),23.29)</f>
        <v>23.29</v>
      </c>
      <c r="C1096" s="1">
        <f>IFERROR(__xludf.DUMMYFUNCTION("""COMPUTED_VALUE"""),23.75)</f>
        <v>23.75</v>
      </c>
      <c r="D1096" s="1">
        <f>IFERROR(__xludf.DUMMYFUNCTION("""COMPUTED_VALUE"""),23.2)</f>
        <v>23.2</v>
      </c>
      <c r="E1096" s="1">
        <f>IFERROR(__xludf.DUMMYFUNCTION("""COMPUTED_VALUE"""),23.67)</f>
        <v>23.67</v>
      </c>
      <c r="F1096" s="1">
        <f>IFERROR(__xludf.DUMMYFUNCTION("""COMPUTED_VALUE"""),218715.0)</f>
        <v>218715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IFERROR(__xludf.DUMMYFUNCTION("""COMPUTED_VALUE"""),23.73)</f>
        <v>23.73</v>
      </c>
      <c r="C1097" s="1">
        <f>IFERROR(__xludf.DUMMYFUNCTION("""COMPUTED_VALUE"""),24.43)</f>
        <v>24.43</v>
      </c>
      <c r="D1097" s="1">
        <f>IFERROR(__xludf.DUMMYFUNCTION("""COMPUTED_VALUE"""),23.71)</f>
        <v>23.71</v>
      </c>
      <c r="E1097" s="1">
        <f>IFERROR(__xludf.DUMMYFUNCTION("""COMPUTED_VALUE"""),24.33)</f>
        <v>24.33</v>
      </c>
      <c r="F1097" s="1">
        <f>IFERROR(__xludf.DUMMYFUNCTION("""COMPUTED_VALUE"""),351171.0)</f>
        <v>351171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IFERROR(__xludf.DUMMYFUNCTION("""COMPUTED_VALUE"""),24.36)</f>
        <v>24.36</v>
      </c>
      <c r="C1098" s="1">
        <f>IFERROR(__xludf.DUMMYFUNCTION("""COMPUTED_VALUE"""),24.53)</f>
        <v>24.53</v>
      </c>
      <c r="D1098" s="1">
        <f>IFERROR(__xludf.DUMMYFUNCTION("""COMPUTED_VALUE"""),23.89)</f>
        <v>23.89</v>
      </c>
      <c r="E1098" s="1">
        <f>IFERROR(__xludf.DUMMYFUNCTION("""COMPUTED_VALUE"""),23.9)</f>
        <v>23.9</v>
      </c>
      <c r="F1098" s="1">
        <f>IFERROR(__xludf.DUMMYFUNCTION("""COMPUTED_VALUE"""),336988.0)</f>
        <v>336988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IFERROR(__xludf.DUMMYFUNCTION("""COMPUTED_VALUE"""),23.8)</f>
        <v>23.8</v>
      </c>
      <c r="C1099" s="1">
        <f>IFERROR(__xludf.DUMMYFUNCTION("""COMPUTED_VALUE"""),24.0)</f>
        <v>24</v>
      </c>
      <c r="D1099" s="1">
        <f>IFERROR(__xludf.DUMMYFUNCTION("""COMPUTED_VALUE"""),23.65)</f>
        <v>23.65</v>
      </c>
      <c r="E1099" s="1">
        <f>IFERROR(__xludf.DUMMYFUNCTION("""COMPUTED_VALUE"""),23.84)</f>
        <v>23.84</v>
      </c>
      <c r="F1099" s="1">
        <f>IFERROR(__xludf.DUMMYFUNCTION("""COMPUTED_VALUE"""),704151.0)</f>
        <v>704151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IFERROR(__xludf.DUMMYFUNCTION("""COMPUTED_VALUE"""),23.72)</f>
        <v>23.72</v>
      </c>
      <c r="C1100" s="1">
        <f>IFERROR(__xludf.DUMMYFUNCTION("""COMPUTED_VALUE"""),23.82)</f>
        <v>23.82</v>
      </c>
      <c r="D1100" s="1">
        <f>IFERROR(__xludf.DUMMYFUNCTION("""COMPUTED_VALUE"""),23.05)</f>
        <v>23.05</v>
      </c>
      <c r="E1100" s="1">
        <f>IFERROR(__xludf.DUMMYFUNCTION("""COMPUTED_VALUE"""),23.46)</f>
        <v>23.46</v>
      </c>
      <c r="F1100" s="1">
        <f>IFERROR(__xludf.DUMMYFUNCTION("""COMPUTED_VALUE"""),517647.0)</f>
        <v>517647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IFERROR(__xludf.DUMMYFUNCTION("""COMPUTED_VALUE"""),23.4)</f>
        <v>23.4</v>
      </c>
      <c r="C1101" s="1">
        <f>IFERROR(__xludf.DUMMYFUNCTION("""COMPUTED_VALUE"""),23.48)</f>
        <v>23.48</v>
      </c>
      <c r="D1101" s="1">
        <f>IFERROR(__xludf.DUMMYFUNCTION("""COMPUTED_VALUE"""),22.98)</f>
        <v>22.98</v>
      </c>
      <c r="E1101" s="1">
        <f>IFERROR(__xludf.DUMMYFUNCTION("""COMPUTED_VALUE"""),23.15)</f>
        <v>23.15</v>
      </c>
      <c r="F1101" s="1">
        <f>IFERROR(__xludf.DUMMYFUNCTION("""COMPUTED_VALUE"""),322488.0)</f>
        <v>322488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IFERROR(__xludf.DUMMYFUNCTION("""COMPUTED_VALUE"""),23.07)</f>
        <v>23.07</v>
      </c>
      <c r="C1102" s="1">
        <f>IFERROR(__xludf.DUMMYFUNCTION("""COMPUTED_VALUE"""),23.76)</f>
        <v>23.76</v>
      </c>
      <c r="D1102" s="1">
        <f>IFERROR(__xludf.DUMMYFUNCTION("""COMPUTED_VALUE"""),23.04)</f>
        <v>23.04</v>
      </c>
      <c r="E1102" s="1">
        <f>IFERROR(__xludf.DUMMYFUNCTION("""COMPUTED_VALUE"""),23.72)</f>
        <v>23.72</v>
      </c>
      <c r="F1102" s="1">
        <f>IFERROR(__xludf.DUMMYFUNCTION("""COMPUTED_VALUE"""),341143.0)</f>
        <v>341143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IFERROR(__xludf.DUMMYFUNCTION("""COMPUTED_VALUE"""),23.62)</f>
        <v>23.62</v>
      </c>
      <c r="C1103" s="1">
        <f>IFERROR(__xludf.DUMMYFUNCTION("""COMPUTED_VALUE"""),23.67)</f>
        <v>23.67</v>
      </c>
      <c r="D1103" s="1">
        <f>IFERROR(__xludf.DUMMYFUNCTION("""COMPUTED_VALUE"""),23.13)</f>
        <v>23.13</v>
      </c>
      <c r="E1103" s="1">
        <f>IFERROR(__xludf.DUMMYFUNCTION("""COMPUTED_VALUE"""),23.31)</f>
        <v>23.31</v>
      </c>
      <c r="F1103" s="1">
        <f>IFERROR(__xludf.DUMMYFUNCTION("""COMPUTED_VALUE"""),429585.0)</f>
        <v>429585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IFERROR(__xludf.DUMMYFUNCTION("""COMPUTED_VALUE"""),23.51)</f>
        <v>23.51</v>
      </c>
      <c r="C1104" s="1">
        <f>IFERROR(__xludf.DUMMYFUNCTION("""COMPUTED_VALUE"""),23.78)</f>
        <v>23.78</v>
      </c>
      <c r="D1104" s="1">
        <f>IFERROR(__xludf.DUMMYFUNCTION("""COMPUTED_VALUE"""),23.27)</f>
        <v>23.27</v>
      </c>
      <c r="E1104" s="1">
        <f>IFERROR(__xludf.DUMMYFUNCTION("""COMPUTED_VALUE"""),23.55)</f>
        <v>23.55</v>
      </c>
      <c r="F1104" s="1">
        <f>IFERROR(__xludf.DUMMYFUNCTION("""COMPUTED_VALUE"""),354142.0)</f>
        <v>354142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IFERROR(__xludf.DUMMYFUNCTION("""COMPUTED_VALUE"""),23.67)</f>
        <v>23.67</v>
      </c>
      <c r="C1105" s="1">
        <f>IFERROR(__xludf.DUMMYFUNCTION("""COMPUTED_VALUE"""),23.82)</f>
        <v>23.82</v>
      </c>
      <c r="D1105" s="1">
        <f>IFERROR(__xludf.DUMMYFUNCTION("""COMPUTED_VALUE"""),23.58)</f>
        <v>23.58</v>
      </c>
      <c r="E1105" s="1">
        <f>IFERROR(__xludf.DUMMYFUNCTION("""COMPUTED_VALUE"""),23.74)</f>
        <v>23.74</v>
      </c>
      <c r="F1105" s="1">
        <f>IFERROR(__xludf.DUMMYFUNCTION("""COMPUTED_VALUE"""),266499.0)</f>
        <v>266499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IFERROR(__xludf.DUMMYFUNCTION("""COMPUTED_VALUE"""),23.82)</f>
        <v>23.82</v>
      </c>
      <c r="C1106" s="1">
        <f>IFERROR(__xludf.DUMMYFUNCTION("""COMPUTED_VALUE"""),24.03)</f>
        <v>24.03</v>
      </c>
      <c r="D1106" s="1">
        <f>IFERROR(__xludf.DUMMYFUNCTION("""COMPUTED_VALUE"""),23.75)</f>
        <v>23.75</v>
      </c>
      <c r="E1106" s="1">
        <f>IFERROR(__xludf.DUMMYFUNCTION("""COMPUTED_VALUE"""),23.91)</f>
        <v>23.91</v>
      </c>
      <c r="F1106" s="1">
        <f>IFERROR(__xludf.DUMMYFUNCTION("""COMPUTED_VALUE"""),212054.0)</f>
        <v>212054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IFERROR(__xludf.DUMMYFUNCTION("""COMPUTED_VALUE"""),24.15)</f>
        <v>24.15</v>
      </c>
      <c r="C1107" s="1">
        <f>IFERROR(__xludf.DUMMYFUNCTION("""COMPUTED_VALUE"""),24.49)</f>
        <v>24.49</v>
      </c>
      <c r="D1107" s="1">
        <f>IFERROR(__xludf.DUMMYFUNCTION("""COMPUTED_VALUE"""),23.72)</f>
        <v>23.72</v>
      </c>
      <c r="E1107" s="1">
        <f>IFERROR(__xludf.DUMMYFUNCTION("""COMPUTED_VALUE"""),24.41)</f>
        <v>24.41</v>
      </c>
      <c r="F1107" s="1">
        <f>IFERROR(__xludf.DUMMYFUNCTION("""COMPUTED_VALUE"""),536570.0)</f>
        <v>536570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IFERROR(__xludf.DUMMYFUNCTION("""COMPUTED_VALUE"""),24.39)</f>
        <v>24.39</v>
      </c>
      <c r="C1108" s="1">
        <f>IFERROR(__xludf.DUMMYFUNCTION("""COMPUTED_VALUE"""),24.44)</f>
        <v>24.44</v>
      </c>
      <c r="D1108" s="1">
        <f>IFERROR(__xludf.DUMMYFUNCTION("""COMPUTED_VALUE"""),23.98)</f>
        <v>23.98</v>
      </c>
      <c r="E1108" s="1">
        <f>IFERROR(__xludf.DUMMYFUNCTION("""COMPUTED_VALUE"""),24.14)</f>
        <v>24.14</v>
      </c>
      <c r="F1108" s="1">
        <f>IFERROR(__xludf.DUMMYFUNCTION("""COMPUTED_VALUE"""),314635.0)</f>
        <v>314635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IFERROR(__xludf.DUMMYFUNCTION("""COMPUTED_VALUE"""),24.23)</f>
        <v>24.23</v>
      </c>
      <c r="C1109" s="1">
        <f>IFERROR(__xludf.DUMMYFUNCTION("""COMPUTED_VALUE"""),24.23)</f>
        <v>24.23</v>
      </c>
      <c r="D1109" s="1">
        <f>IFERROR(__xludf.DUMMYFUNCTION("""COMPUTED_VALUE"""),23.89)</f>
        <v>23.89</v>
      </c>
      <c r="E1109" s="1">
        <f>IFERROR(__xludf.DUMMYFUNCTION("""COMPUTED_VALUE"""),24.01)</f>
        <v>24.01</v>
      </c>
      <c r="F1109" s="1">
        <f>IFERROR(__xludf.DUMMYFUNCTION("""COMPUTED_VALUE"""),193817.0)</f>
        <v>193817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IFERROR(__xludf.DUMMYFUNCTION("""COMPUTED_VALUE"""),24.09)</f>
        <v>24.09</v>
      </c>
      <c r="C1110" s="1">
        <f>IFERROR(__xludf.DUMMYFUNCTION("""COMPUTED_VALUE"""),24.31)</f>
        <v>24.31</v>
      </c>
      <c r="D1110" s="1">
        <f>IFERROR(__xludf.DUMMYFUNCTION("""COMPUTED_VALUE"""),23.94)</f>
        <v>23.94</v>
      </c>
      <c r="E1110" s="1">
        <f>IFERROR(__xludf.DUMMYFUNCTION("""COMPUTED_VALUE"""),24.03)</f>
        <v>24.03</v>
      </c>
      <c r="F1110" s="1">
        <f>IFERROR(__xludf.DUMMYFUNCTION("""COMPUTED_VALUE"""),326688.0)</f>
        <v>326688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IFERROR(__xludf.DUMMYFUNCTION("""COMPUTED_VALUE"""),24.05)</f>
        <v>24.05</v>
      </c>
      <c r="C1111" s="1">
        <f>IFERROR(__xludf.DUMMYFUNCTION("""COMPUTED_VALUE"""),24.18)</f>
        <v>24.18</v>
      </c>
      <c r="D1111" s="1">
        <f>IFERROR(__xludf.DUMMYFUNCTION("""COMPUTED_VALUE"""),23.62)</f>
        <v>23.62</v>
      </c>
      <c r="E1111" s="1">
        <f>IFERROR(__xludf.DUMMYFUNCTION("""COMPUTED_VALUE"""),24.12)</f>
        <v>24.12</v>
      </c>
      <c r="F1111" s="1">
        <f>IFERROR(__xludf.DUMMYFUNCTION("""COMPUTED_VALUE"""),290626.0)</f>
        <v>290626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IFERROR(__xludf.DUMMYFUNCTION("""COMPUTED_VALUE"""),24.0)</f>
        <v>24</v>
      </c>
      <c r="C1112" s="1">
        <f>IFERROR(__xludf.DUMMYFUNCTION("""COMPUTED_VALUE"""),24.48)</f>
        <v>24.48</v>
      </c>
      <c r="D1112" s="1">
        <f>IFERROR(__xludf.DUMMYFUNCTION("""COMPUTED_VALUE"""),24.0)</f>
        <v>24</v>
      </c>
      <c r="E1112" s="1">
        <f>IFERROR(__xludf.DUMMYFUNCTION("""COMPUTED_VALUE"""),24.39)</f>
        <v>24.39</v>
      </c>
      <c r="F1112" s="1">
        <f>IFERROR(__xludf.DUMMYFUNCTION("""COMPUTED_VALUE"""),366663.0)</f>
        <v>366663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IFERROR(__xludf.DUMMYFUNCTION("""COMPUTED_VALUE"""),24.26)</f>
        <v>24.26</v>
      </c>
      <c r="C1113" s="1">
        <f>IFERROR(__xludf.DUMMYFUNCTION("""COMPUTED_VALUE"""),24.57)</f>
        <v>24.57</v>
      </c>
      <c r="D1113" s="1">
        <f>IFERROR(__xludf.DUMMYFUNCTION("""COMPUTED_VALUE"""),24.26)</f>
        <v>24.26</v>
      </c>
      <c r="E1113" s="1">
        <f>IFERROR(__xludf.DUMMYFUNCTION("""COMPUTED_VALUE"""),24.49)</f>
        <v>24.49</v>
      </c>
      <c r="F1113" s="1">
        <f>IFERROR(__xludf.DUMMYFUNCTION("""COMPUTED_VALUE"""),219720.0)</f>
        <v>219720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IFERROR(__xludf.DUMMYFUNCTION("""COMPUTED_VALUE"""),24.6)</f>
        <v>24.6</v>
      </c>
      <c r="C1114" s="1">
        <f>IFERROR(__xludf.DUMMYFUNCTION("""COMPUTED_VALUE"""),25.53)</f>
        <v>25.53</v>
      </c>
      <c r="D1114" s="1">
        <f>IFERROR(__xludf.DUMMYFUNCTION("""COMPUTED_VALUE"""),24.43)</f>
        <v>24.43</v>
      </c>
      <c r="E1114" s="1">
        <f>IFERROR(__xludf.DUMMYFUNCTION("""COMPUTED_VALUE"""),25.36)</f>
        <v>25.36</v>
      </c>
      <c r="F1114" s="1">
        <f>IFERROR(__xludf.DUMMYFUNCTION("""COMPUTED_VALUE"""),559325.0)</f>
        <v>559325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IFERROR(__xludf.DUMMYFUNCTION("""COMPUTED_VALUE"""),25.53)</f>
        <v>25.53</v>
      </c>
      <c r="C1115" s="1">
        <f>IFERROR(__xludf.DUMMYFUNCTION("""COMPUTED_VALUE"""),25.85)</f>
        <v>25.85</v>
      </c>
      <c r="D1115" s="1">
        <f>IFERROR(__xludf.DUMMYFUNCTION("""COMPUTED_VALUE"""),25.29)</f>
        <v>25.29</v>
      </c>
      <c r="E1115" s="1">
        <f>IFERROR(__xludf.DUMMYFUNCTION("""COMPUTED_VALUE"""),25.67)</f>
        <v>25.67</v>
      </c>
      <c r="F1115" s="1">
        <f>IFERROR(__xludf.DUMMYFUNCTION("""COMPUTED_VALUE"""),430824.0)</f>
        <v>430824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IFERROR(__xludf.DUMMYFUNCTION("""COMPUTED_VALUE"""),25.72)</f>
        <v>25.72</v>
      </c>
      <c r="C1116" s="1">
        <f>IFERROR(__xludf.DUMMYFUNCTION("""COMPUTED_VALUE"""),26.51)</f>
        <v>26.51</v>
      </c>
      <c r="D1116" s="1">
        <f>IFERROR(__xludf.DUMMYFUNCTION("""COMPUTED_VALUE"""),25.61)</f>
        <v>25.61</v>
      </c>
      <c r="E1116" s="1">
        <f>IFERROR(__xludf.DUMMYFUNCTION("""COMPUTED_VALUE"""),26.47)</f>
        <v>26.47</v>
      </c>
      <c r="F1116" s="1">
        <f>IFERROR(__xludf.DUMMYFUNCTION("""COMPUTED_VALUE"""),504802.0)</f>
        <v>504802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IFERROR(__xludf.DUMMYFUNCTION("""COMPUTED_VALUE"""),26.31)</f>
        <v>26.31</v>
      </c>
      <c r="C1117" s="1">
        <f>IFERROR(__xludf.DUMMYFUNCTION("""COMPUTED_VALUE"""),26.36)</f>
        <v>26.36</v>
      </c>
      <c r="D1117" s="1">
        <f>IFERROR(__xludf.DUMMYFUNCTION("""COMPUTED_VALUE"""),25.96)</f>
        <v>25.96</v>
      </c>
      <c r="E1117" s="1">
        <f>IFERROR(__xludf.DUMMYFUNCTION("""COMPUTED_VALUE"""),26.16)</f>
        <v>26.16</v>
      </c>
      <c r="F1117" s="1">
        <f>IFERROR(__xludf.DUMMYFUNCTION("""COMPUTED_VALUE"""),347865.0)</f>
        <v>347865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IFERROR(__xludf.DUMMYFUNCTION("""COMPUTED_VALUE"""),25.98)</f>
        <v>25.98</v>
      </c>
      <c r="C1118" s="1">
        <f>IFERROR(__xludf.DUMMYFUNCTION("""COMPUTED_VALUE"""),26.19)</f>
        <v>26.19</v>
      </c>
      <c r="D1118" s="1">
        <f>IFERROR(__xludf.DUMMYFUNCTION("""COMPUTED_VALUE"""),25.67)</f>
        <v>25.67</v>
      </c>
      <c r="E1118" s="1">
        <f>IFERROR(__xludf.DUMMYFUNCTION("""COMPUTED_VALUE"""),25.8)</f>
        <v>25.8</v>
      </c>
      <c r="F1118" s="1">
        <f>IFERROR(__xludf.DUMMYFUNCTION("""COMPUTED_VALUE"""),295427.0)</f>
        <v>295427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IFERROR(__xludf.DUMMYFUNCTION("""COMPUTED_VALUE"""),25.7)</f>
        <v>25.7</v>
      </c>
      <c r="C1119" s="1">
        <f>IFERROR(__xludf.DUMMYFUNCTION("""COMPUTED_VALUE"""),25.86)</f>
        <v>25.86</v>
      </c>
      <c r="D1119" s="1">
        <f>IFERROR(__xludf.DUMMYFUNCTION("""COMPUTED_VALUE"""),25.35)</f>
        <v>25.35</v>
      </c>
      <c r="E1119" s="1">
        <f>IFERROR(__xludf.DUMMYFUNCTION("""COMPUTED_VALUE"""),25.35)</f>
        <v>25.35</v>
      </c>
      <c r="F1119" s="1">
        <f>IFERROR(__xludf.DUMMYFUNCTION("""COMPUTED_VALUE"""),408105.0)</f>
        <v>408105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IFERROR(__xludf.DUMMYFUNCTION("""COMPUTED_VALUE"""),25.45)</f>
        <v>25.45</v>
      </c>
      <c r="C1120" s="1">
        <f>IFERROR(__xludf.DUMMYFUNCTION("""COMPUTED_VALUE"""),25.83)</f>
        <v>25.83</v>
      </c>
      <c r="D1120" s="1">
        <f>IFERROR(__xludf.DUMMYFUNCTION("""COMPUTED_VALUE"""),25.32)</f>
        <v>25.32</v>
      </c>
      <c r="E1120" s="1">
        <f>IFERROR(__xludf.DUMMYFUNCTION("""COMPUTED_VALUE"""),25.56)</f>
        <v>25.56</v>
      </c>
      <c r="F1120" s="1">
        <f>IFERROR(__xludf.DUMMYFUNCTION("""COMPUTED_VALUE"""),402564.0)</f>
        <v>402564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IFERROR(__xludf.DUMMYFUNCTION("""COMPUTED_VALUE"""),25.5)</f>
        <v>25.5</v>
      </c>
      <c r="C1121" s="1">
        <f>IFERROR(__xludf.DUMMYFUNCTION("""COMPUTED_VALUE"""),25.51)</f>
        <v>25.51</v>
      </c>
      <c r="D1121" s="1">
        <f>IFERROR(__xludf.DUMMYFUNCTION("""COMPUTED_VALUE"""),25.23)</f>
        <v>25.23</v>
      </c>
      <c r="E1121" s="1">
        <f>IFERROR(__xludf.DUMMYFUNCTION("""COMPUTED_VALUE"""),25.4)</f>
        <v>25.4</v>
      </c>
      <c r="F1121" s="1">
        <f>IFERROR(__xludf.DUMMYFUNCTION("""COMPUTED_VALUE"""),283705.0)</f>
        <v>283705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IFERROR(__xludf.DUMMYFUNCTION("""COMPUTED_VALUE"""),25.35)</f>
        <v>25.35</v>
      </c>
      <c r="C1122" s="1">
        <f>IFERROR(__xludf.DUMMYFUNCTION("""COMPUTED_VALUE"""),26.16)</f>
        <v>26.16</v>
      </c>
      <c r="D1122" s="1">
        <f>IFERROR(__xludf.DUMMYFUNCTION("""COMPUTED_VALUE"""),25.35)</f>
        <v>25.35</v>
      </c>
      <c r="E1122" s="1">
        <f>IFERROR(__xludf.DUMMYFUNCTION("""COMPUTED_VALUE"""),25.98)</f>
        <v>25.98</v>
      </c>
      <c r="F1122" s="1">
        <f>IFERROR(__xludf.DUMMYFUNCTION("""COMPUTED_VALUE"""),445885.0)</f>
        <v>445885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IFERROR(__xludf.DUMMYFUNCTION("""COMPUTED_VALUE"""),25.92)</f>
        <v>25.92</v>
      </c>
      <c r="C1123" s="1">
        <f>IFERROR(__xludf.DUMMYFUNCTION("""COMPUTED_VALUE"""),26.0)</f>
        <v>26</v>
      </c>
      <c r="D1123" s="1">
        <f>IFERROR(__xludf.DUMMYFUNCTION("""COMPUTED_VALUE"""),25.63)</f>
        <v>25.63</v>
      </c>
      <c r="E1123" s="1">
        <f>IFERROR(__xludf.DUMMYFUNCTION("""COMPUTED_VALUE"""),25.86)</f>
        <v>25.86</v>
      </c>
      <c r="F1123" s="1">
        <f>IFERROR(__xludf.DUMMYFUNCTION("""COMPUTED_VALUE"""),452937.0)</f>
        <v>452937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IFERROR(__xludf.DUMMYFUNCTION("""COMPUTED_VALUE"""),25.89)</f>
        <v>25.89</v>
      </c>
      <c r="C1124" s="1">
        <f>IFERROR(__xludf.DUMMYFUNCTION("""COMPUTED_VALUE"""),25.89)</f>
        <v>25.89</v>
      </c>
      <c r="D1124" s="1">
        <f>IFERROR(__xludf.DUMMYFUNCTION("""COMPUTED_VALUE"""),25.53)</f>
        <v>25.53</v>
      </c>
      <c r="E1124" s="1">
        <f>IFERROR(__xludf.DUMMYFUNCTION("""COMPUTED_VALUE"""),25.73)</f>
        <v>25.73</v>
      </c>
      <c r="F1124" s="1">
        <f>IFERROR(__xludf.DUMMYFUNCTION("""COMPUTED_VALUE"""),256889.0)</f>
        <v>256889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IFERROR(__xludf.DUMMYFUNCTION("""COMPUTED_VALUE"""),25.88)</f>
        <v>25.88</v>
      </c>
      <c r="C1125" s="1">
        <f>IFERROR(__xludf.DUMMYFUNCTION("""COMPUTED_VALUE"""),26.0)</f>
        <v>26</v>
      </c>
      <c r="D1125" s="1">
        <f>IFERROR(__xludf.DUMMYFUNCTION("""COMPUTED_VALUE"""),25.69)</f>
        <v>25.69</v>
      </c>
      <c r="E1125" s="1">
        <f>IFERROR(__xludf.DUMMYFUNCTION("""COMPUTED_VALUE"""),25.75)</f>
        <v>25.75</v>
      </c>
      <c r="F1125" s="1">
        <f>IFERROR(__xludf.DUMMYFUNCTION("""COMPUTED_VALUE"""),795449.0)</f>
        <v>795449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IFERROR(__xludf.DUMMYFUNCTION("""COMPUTED_VALUE"""),25.83)</f>
        <v>25.83</v>
      </c>
      <c r="C1126" s="1">
        <f>IFERROR(__xludf.DUMMYFUNCTION("""COMPUTED_VALUE"""),25.83)</f>
        <v>25.83</v>
      </c>
      <c r="D1126" s="1">
        <f>IFERROR(__xludf.DUMMYFUNCTION("""COMPUTED_VALUE"""),25.43)</f>
        <v>25.43</v>
      </c>
      <c r="E1126" s="1">
        <f>IFERROR(__xludf.DUMMYFUNCTION("""COMPUTED_VALUE"""),25.55)</f>
        <v>25.55</v>
      </c>
      <c r="F1126" s="1">
        <f>IFERROR(__xludf.DUMMYFUNCTION("""COMPUTED_VALUE"""),313665.0)</f>
        <v>313665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IFERROR(__xludf.DUMMYFUNCTION("""COMPUTED_VALUE"""),25.49)</f>
        <v>25.49</v>
      </c>
      <c r="C1127" s="1">
        <f>IFERROR(__xludf.DUMMYFUNCTION("""COMPUTED_VALUE"""),25.95)</f>
        <v>25.95</v>
      </c>
      <c r="D1127" s="1">
        <f>IFERROR(__xludf.DUMMYFUNCTION("""COMPUTED_VALUE"""),25.33)</f>
        <v>25.33</v>
      </c>
      <c r="E1127" s="1">
        <f>IFERROR(__xludf.DUMMYFUNCTION("""COMPUTED_VALUE"""),25.35)</f>
        <v>25.35</v>
      </c>
      <c r="F1127" s="1">
        <f>IFERROR(__xludf.DUMMYFUNCTION("""COMPUTED_VALUE"""),383886.0)</f>
        <v>383886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IFERROR(__xludf.DUMMYFUNCTION("""COMPUTED_VALUE"""),25.19)</f>
        <v>25.19</v>
      </c>
      <c r="C1128" s="1">
        <f>IFERROR(__xludf.DUMMYFUNCTION("""COMPUTED_VALUE"""),25.58)</f>
        <v>25.58</v>
      </c>
      <c r="D1128" s="1">
        <f>IFERROR(__xludf.DUMMYFUNCTION("""COMPUTED_VALUE"""),24.96)</f>
        <v>24.96</v>
      </c>
      <c r="E1128" s="1">
        <f>IFERROR(__xludf.DUMMYFUNCTION("""COMPUTED_VALUE"""),25.49)</f>
        <v>25.49</v>
      </c>
      <c r="F1128" s="1">
        <f>IFERROR(__xludf.DUMMYFUNCTION("""COMPUTED_VALUE"""),390540.0)</f>
        <v>390540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IFERROR(__xludf.DUMMYFUNCTION("""COMPUTED_VALUE"""),25.45)</f>
        <v>25.45</v>
      </c>
      <c r="C1129" s="1">
        <f>IFERROR(__xludf.DUMMYFUNCTION("""COMPUTED_VALUE"""),25.47)</f>
        <v>25.47</v>
      </c>
      <c r="D1129" s="1">
        <f>IFERROR(__xludf.DUMMYFUNCTION("""COMPUTED_VALUE"""),25.05)</f>
        <v>25.05</v>
      </c>
      <c r="E1129" s="1">
        <f>IFERROR(__xludf.DUMMYFUNCTION("""COMPUTED_VALUE"""),25.41)</f>
        <v>25.41</v>
      </c>
      <c r="F1129" s="1">
        <f>IFERROR(__xludf.DUMMYFUNCTION("""COMPUTED_VALUE"""),214891.0)</f>
        <v>214891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IFERROR(__xludf.DUMMYFUNCTION("""COMPUTED_VALUE"""),25.21)</f>
        <v>25.21</v>
      </c>
      <c r="C1130" s="1">
        <f>IFERROR(__xludf.DUMMYFUNCTION("""COMPUTED_VALUE"""),25.63)</f>
        <v>25.63</v>
      </c>
      <c r="D1130" s="1">
        <f>IFERROR(__xludf.DUMMYFUNCTION("""COMPUTED_VALUE"""),25.21)</f>
        <v>25.21</v>
      </c>
      <c r="E1130" s="1">
        <f>IFERROR(__xludf.DUMMYFUNCTION("""COMPUTED_VALUE"""),25.61)</f>
        <v>25.61</v>
      </c>
      <c r="F1130" s="1">
        <f>IFERROR(__xludf.DUMMYFUNCTION("""COMPUTED_VALUE"""),539214.0)</f>
        <v>539214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IFERROR(__xludf.DUMMYFUNCTION("""COMPUTED_VALUE"""),25.54)</f>
        <v>25.54</v>
      </c>
      <c r="C1131" s="1">
        <f>IFERROR(__xludf.DUMMYFUNCTION("""COMPUTED_VALUE"""),25.63)</f>
        <v>25.63</v>
      </c>
      <c r="D1131" s="1">
        <f>IFERROR(__xludf.DUMMYFUNCTION("""COMPUTED_VALUE"""),25.26)</f>
        <v>25.26</v>
      </c>
      <c r="E1131" s="1">
        <f>IFERROR(__xludf.DUMMYFUNCTION("""COMPUTED_VALUE"""),25.56)</f>
        <v>25.56</v>
      </c>
      <c r="F1131" s="1">
        <f>IFERROR(__xludf.DUMMYFUNCTION("""COMPUTED_VALUE"""),303306.0)</f>
        <v>303306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IFERROR(__xludf.DUMMYFUNCTION("""COMPUTED_VALUE"""),25.58)</f>
        <v>25.58</v>
      </c>
      <c r="C1132" s="1">
        <f>IFERROR(__xludf.DUMMYFUNCTION("""COMPUTED_VALUE"""),26.44)</f>
        <v>26.44</v>
      </c>
      <c r="D1132" s="1">
        <f>IFERROR(__xludf.DUMMYFUNCTION("""COMPUTED_VALUE"""),25.58)</f>
        <v>25.58</v>
      </c>
      <c r="E1132" s="1">
        <f>IFERROR(__xludf.DUMMYFUNCTION("""COMPUTED_VALUE"""),26.09)</f>
        <v>26.09</v>
      </c>
      <c r="F1132" s="1">
        <f>IFERROR(__xludf.DUMMYFUNCTION("""COMPUTED_VALUE"""),535199.0)</f>
        <v>535199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IFERROR(__xludf.DUMMYFUNCTION("""COMPUTED_VALUE"""),26.03)</f>
        <v>26.03</v>
      </c>
      <c r="C1133" s="1">
        <f>IFERROR(__xludf.DUMMYFUNCTION("""COMPUTED_VALUE"""),26.28)</f>
        <v>26.28</v>
      </c>
      <c r="D1133" s="1">
        <f>IFERROR(__xludf.DUMMYFUNCTION("""COMPUTED_VALUE"""),25.71)</f>
        <v>25.71</v>
      </c>
      <c r="E1133" s="1">
        <f>IFERROR(__xludf.DUMMYFUNCTION("""COMPUTED_VALUE"""),25.8)</f>
        <v>25.8</v>
      </c>
      <c r="F1133" s="1">
        <f>IFERROR(__xludf.DUMMYFUNCTION("""COMPUTED_VALUE"""),271226.0)</f>
        <v>271226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IFERROR(__xludf.DUMMYFUNCTION("""COMPUTED_VALUE"""),25.94)</f>
        <v>25.94</v>
      </c>
      <c r="C1134" s="1">
        <f>IFERROR(__xludf.DUMMYFUNCTION("""COMPUTED_VALUE"""),26.88)</f>
        <v>26.88</v>
      </c>
      <c r="D1134" s="1">
        <f>IFERROR(__xludf.DUMMYFUNCTION("""COMPUTED_VALUE"""),25.91)</f>
        <v>25.91</v>
      </c>
      <c r="E1134" s="1">
        <f>IFERROR(__xludf.DUMMYFUNCTION("""COMPUTED_VALUE"""),26.44)</f>
        <v>26.44</v>
      </c>
      <c r="F1134" s="1">
        <f>IFERROR(__xludf.DUMMYFUNCTION("""COMPUTED_VALUE"""),211136.0)</f>
        <v>211136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IFERROR(__xludf.DUMMYFUNCTION("""COMPUTED_VALUE"""),26.26)</f>
        <v>26.26</v>
      </c>
      <c r="C1135" s="1">
        <f>IFERROR(__xludf.DUMMYFUNCTION("""COMPUTED_VALUE"""),26.37)</f>
        <v>26.37</v>
      </c>
      <c r="D1135" s="1">
        <f>IFERROR(__xludf.DUMMYFUNCTION("""COMPUTED_VALUE"""),25.91)</f>
        <v>25.91</v>
      </c>
      <c r="E1135" s="1">
        <f>IFERROR(__xludf.DUMMYFUNCTION("""COMPUTED_VALUE"""),25.94)</f>
        <v>25.94</v>
      </c>
      <c r="F1135" s="1">
        <f>IFERROR(__xludf.DUMMYFUNCTION("""COMPUTED_VALUE"""),299496.0)</f>
        <v>299496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IFERROR(__xludf.DUMMYFUNCTION("""COMPUTED_VALUE"""),25.85)</f>
        <v>25.85</v>
      </c>
      <c r="C1136" s="1">
        <f>IFERROR(__xludf.DUMMYFUNCTION("""COMPUTED_VALUE"""),25.9)</f>
        <v>25.9</v>
      </c>
      <c r="D1136" s="1">
        <f>IFERROR(__xludf.DUMMYFUNCTION("""COMPUTED_VALUE"""),25.37)</f>
        <v>25.37</v>
      </c>
      <c r="E1136" s="1">
        <f>IFERROR(__xludf.DUMMYFUNCTION("""COMPUTED_VALUE"""),25.48)</f>
        <v>25.48</v>
      </c>
      <c r="F1136" s="1">
        <f>IFERROR(__xludf.DUMMYFUNCTION("""COMPUTED_VALUE"""),340227.0)</f>
        <v>340227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IFERROR(__xludf.DUMMYFUNCTION("""COMPUTED_VALUE"""),25.62)</f>
        <v>25.62</v>
      </c>
      <c r="C1137" s="1">
        <f>IFERROR(__xludf.DUMMYFUNCTION("""COMPUTED_VALUE"""),25.87)</f>
        <v>25.87</v>
      </c>
      <c r="D1137" s="1">
        <f>IFERROR(__xludf.DUMMYFUNCTION("""COMPUTED_VALUE"""),25.5)</f>
        <v>25.5</v>
      </c>
      <c r="E1137" s="1">
        <f>IFERROR(__xludf.DUMMYFUNCTION("""COMPUTED_VALUE"""),25.61)</f>
        <v>25.61</v>
      </c>
      <c r="F1137" s="1">
        <f>IFERROR(__xludf.DUMMYFUNCTION("""COMPUTED_VALUE"""),241879.0)</f>
        <v>241879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IFERROR(__xludf.DUMMYFUNCTION("""COMPUTED_VALUE"""),25.16)</f>
        <v>25.16</v>
      </c>
      <c r="C1138" s="1">
        <f>IFERROR(__xludf.DUMMYFUNCTION("""COMPUTED_VALUE"""),25.71)</f>
        <v>25.71</v>
      </c>
      <c r="D1138" s="1">
        <f>IFERROR(__xludf.DUMMYFUNCTION("""COMPUTED_VALUE"""),25.02)</f>
        <v>25.02</v>
      </c>
      <c r="E1138" s="1">
        <f>IFERROR(__xludf.DUMMYFUNCTION("""COMPUTED_VALUE"""),25.37)</f>
        <v>25.37</v>
      </c>
      <c r="F1138" s="1">
        <f>IFERROR(__xludf.DUMMYFUNCTION("""COMPUTED_VALUE"""),351712.0)</f>
        <v>351712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IFERROR(__xludf.DUMMYFUNCTION("""COMPUTED_VALUE"""),25.26)</f>
        <v>25.26</v>
      </c>
      <c r="C1139" s="1">
        <f>IFERROR(__xludf.DUMMYFUNCTION("""COMPUTED_VALUE"""),25.46)</f>
        <v>25.46</v>
      </c>
      <c r="D1139" s="1">
        <f>IFERROR(__xludf.DUMMYFUNCTION("""COMPUTED_VALUE"""),25.07)</f>
        <v>25.07</v>
      </c>
      <c r="E1139" s="1">
        <f>IFERROR(__xludf.DUMMYFUNCTION("""COMPUTED_VALUE"""),25.34)</f>
        <v>25.34</v>
      </c>
      <c r="F1139" s="1">
        <f>IFERROR(__xludf.DUMMYFUNCTION("""COMPUTED_VALUE"""),244843.0)</f>
        <v>244843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IFERROR(__xludf.DUMMYFUNCTION("""COMPUTED_VALUE"""),25.64)</f>
        <v>25.64</v>
      </c>
      <c r="C1140" s="1">
        <f>IFERROR(__xludf.DUMMYFUNCTION("""COMPUTED_VALUE"""),25.76)</f>
        <v>25.76</v>
      </c>
      <c r="D1140" s="1">
        <f>IFERROR(__xludf.DUMMYFUNCTION("""COMPUTED_VALUE"""),25.36)</f>
        <v>25.36</v>
      </c>
      <c r="E1140" s="1">
        <f>IFERROR(__xludf.DUMMYFUNCTION("""COMPUTED_VALUE"""),25.4)</f>
        <v>25.4</v>
      </c>
      <c r="F1140" s="1">
        <f>IFERROR(__xludf.DUMMYFUNCTION("""COMPUTED_VALUE"""),224003.0)</f>
        <v>224003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IFERROR(__xludf.DUMMYFUNCTION("""COMPUTED_VALUE"""),25.47)</f>
        <v>25.47</v>
      </c>
      <c r="C1141" s="1">
        <f>IFERROR(__xludf.DUMMYFUNCTION("""COMPUTED_VALUE"""),25.88)</f>
        <v>25.88</v>
      </c>
      <c r="D1141" s="1">
        <f>IFERROR(__xludf.DUMMYFUNCTION("""COMPUTED_VALUE"""),25.33)</f>
        <v>25.33</v>
      </c>
      <c r="E1141" s="1">
        <f>IFERROR(__xludf.DUMMYFUNCTION("""COMPUTED_VALUE"""),25.88)</f>
        <v>25.88</v>
      </c>
      <c r="F1141" s="1">
        <f>IFERROR(__xludf.DUMMYFUNCTION("""COMPUTED_VALUE"""),484057.0)</f>
        <v>484057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IFERROR(__xludf.DUMMYFUNCTION("""COMPUTED_VALUE"""),25.98)</f>
        <v>25.98</v>
      </c>
      <c r="C1142" s="1">
        <f>IFERROR(__xludf.DUMMYFUNCTION("""COMPUTED_VALUE"""),25.98)</f>
        <v>25.98</v>
      </c>
      <c r="D1142" s="1">
        <f>IFERROR(__xludf.DUMMYFUNCTION("""COMPUTED_VALUE"""),25.4)</f>
        <v>25.4</v>
      </c>
      <c r="E1142" s="1">
        <f>IFERROR(__xludf.DUMMYFUNCTION("""COMPUTED_VALUE"""),25.76)</f>
        <v>25.76</v>
      </c>
      <c r="F1142" s="1">
        <f>IFERROR(__xludf.DUMMYFUNCTION("""COMPUTED_VALUE"""),1117353.0)</f>
        <v>1117353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IFERROR(__xludf.DUMMYFUNCTION("""COMPUTED_VALUE"""),25.55)</f>
        <v>25.55</v>
      </c>
      <c r="C1143" s="1">
        <f>IFERROR(__xludf.DUMMYFUNCTION("""COMPUTED_VALUE"""),25.72)</f>
        <v>25.72</v>
      </c>
      <c r="D1143" s="1">
        <f>IFERROR(__xludf.DUMMYFUNCTION("""COMPUTED_VALUE"""),25.31)</f>
        <v>25.31</v>
      </c>
      <c r="E1143" s="1">
        <f>IFERROR(__xludf.DUMMYFUNCTION("""COMPUTED_VALUE"""),25.38)</f>
        <v>25.38</v>
      </c>
      <c r="F1143" s="1">
        <f>IFERROR(__xludf.DUMMYFUNCTION("""COMPUTED_VALUE"""),622825.0)</f>
        <v>622825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IFERROR(__xludf.DUMMYFUNCTION("""COMPUTED_VALUE"""),25.33)</f>
        <v>25.33</v>
      </c>
      <c r="C1144" s="1">
        <f>IFERROR(__xludf.DUMMYFUNCTION("""COMPUTED_VALUE"""),25.92)</f>
        <v>25.92</v>
      </c>
      <c r="D1144" s="1">
        <f>IFERROR(__xludf.DUMMYFUNCTION("""COMPUTED_VALUE"""),25.33)</f>
        <v>25.33</v>
      </c>
      <c r="E1144" s="1">
        <f>IFERROR(__xludf.DUMMYFUNCTION("""COMPUTED_VALUE"""),25.68)</f>
        <v>25.68</v>
      </c>
      <c r="F1144" s="1">
        <f>IFERROR(__xludf.DUMMYFUNCTION("""COMPUTED_VALUE"""),545506.0)</f>
        <v>545506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IFERROR(__xludf.DUMMYFUNCTION("""COMPUTED_VALUE"""),25.55)</f>
        <v>25.55</v>
      </c>
      <c r="C1145" s="1">
        <f>IFERROR(__xludf.DUMMYFUNCTION("""COMPUTED_VALUE"""),25.62)</f>
        <v>25.62</v>
      </c>
      <c r="D1145" s="1">
        <f>IFERROR(__xludf.DUMMYFUNCTION("""COMPUTED_VALUE"""),25.32)</f>
        <v>25.32</v>
      </c>
      <c r="E1145" s="1">
        <f>IFERROR(__xludf.DUMMYFUNCTION("""COMPUTED_VALUE"""),25.59)</f>
        <v>25.59</v>
      </c>
      <c r="F1145" s="1">
        <f>IFERROR(__xludf.DUMMYFUNCTION("""COMPUTED_VALUE"""),357592.0)</f>
        <v>357592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IFERROR(__xludf.DUMMYFUNCTION("""COMPUTED_VALUE"""),25.68)</f>
        <v>25.68</v>
      </c>
      <c r="C1146" s="1">
        <f>IFERROR(__xludf.DUMMYFUNCTION("""COMPUTED_VALUE"""),25.87)</f>
        <v>25.87</v>
      </c>
      <c r="D1146" s="1">
        <f>IFERROR(__xludf.DUMMYFUNCTION("""COMPUTED_VALUE"""),25.55)</f>
        <v>25.55</v>
      </c>
      <c r="E1146" s="1">
        <f>IFERROR(__xludf.DUMMYFUNCTION("""COMPUTED_VALUE"""),25.75)</f>
        <v>25.75</v>
      </c>
      <c r="F1146" s="1">
        <f>IFERROR(__xludf.DUMMYFUNCTION("""COMPUTED_VALUE"""),413469.0)</f>
        <v>413469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IFERROR(__xludf.DUMMYFUNCTION("""COMPUTED_VALUE"""),26.52)</f>
        <v>26.52</v>
      </c>
      <c r="C1147" s="1">
        <f>IFERROR(__xludf.DUMMYFUNCTION("""COMPUTED_VALUE"""),26.52)</f>
        <v>26.52</v>
      </c>
      <c r="D1147" s="1">
        <f>IFERROR(__xludf.DUMMYFUNCTION("""COMPUTED_VALUE"""),25.89)</f>
        <v>25.89</v>
      </c>
      <c r="E1147" s="1">
        <f>IFERROR(__xludf.DUMMYFUNCTION("""COMPUTED_VALUE"""),26.21)</f>
        <v>26.21</v>
      </c>
      <c r="F1147" s="1">
        <f>IFERROR(__xludf.DUMMYFUNCTION("""COMPUTED_VALUE"""),608657.0)</f>
        <v>608657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IFERROR(__xludf.DUMMYFUNCTION("""COMPUTED_VALUE"""),26.31)</f>
        <v>26.31</v>
      </c>
      <c r="C1148" s="1">
        <f>IFERROR(__xludf.DUMMYFUNCTION("""COMPUTED_VALUE"""),26.58)</f>
        <v>26.58</v>
      </c>
      <c r="D1148" s="1">
        <f>IFERROR(__xludf.DUMMYFUNCTION("""COMPUTED_VALUE"""),26.18)</f>
        <v>26.18</v>
      </c>
      <c r="E1148" s="1">
        <f>IFERROR(__xludf.DUMMYFUNCTION("""COMPUTED_VALUE"""),26.44)</f>
        <v>26.44</v>
      </c>
      <c r="F1148" s="1">
        <f>IFERROR(__xludf.DUMMYFUNCTION("""COMPUTED_VALUE"""),610179.0)</f>
        <v>610179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IFERROR(__xludf.DUMMYFUNCTION("""COMPUTED_VALUE"""),26.27)</f>
        <v>26.27</v>
      </c>
      <c r="C1149" s="1">
        <f>IFERROR(__xludf.DUMMYFUNCTION("""COMPUTED_VALUE"""),26.49)</f>
        <v>26.49</v>
      </c>
      <c r="D1149" s="1">
        <f>IFERROR(__xludf.DUMMYFUNCTION("""COMPUTED_VALUE"""),25.98)</f>
        <v>25.98</v>
      </c>
      <c r="E1149" s="1">
        <f>IFERROR(__xludf.DUMMYFUNCTION("""COMPUTED_VALUE"""),26.04)</f>
        <v>26.04</v>
      </c>
      <c r="F1149" s="1">
        <f>IFERROR(__xludf.DUMMYFUNCTION("""COMPUTED_VALUE"""),681325.0)</f>
        <v>681325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IFERROR(__xludf.DUMMYFUNCTION("""COMPUTED_VALUE"""),26.05)</f>
        <v>26.05</v>
      </c>
      <c r="C1150" s="1">
        <f>IFERROR(__xludf.DUMMYFUNCTION("""COMPUTED_VALUE"""),26.07)</f>
        <v>26.07</v>
      </c>
      <c r="D1150" s="1">
        <f>IFERROR(__xludf.DUMMYFUNCTION("""COMPUTED_VALUE"""),25.7)</f>
        <v>25.7</v>
      </c>
      <c r="E1150" s="1">
        <f>IFERROR(__xludf.DUMMYFUNCTION("""COMPUTED_VALUE"""),25.88)</f>
        <v>25.88</v>
      </c>
      <c r="F1150" s="1">
        <f>IFERROR(__xludf.DUMMYFUNCTION("""COMPUTED_VALUE"""),671246.0)</f>
        <v>671246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IFERROR(__xludf.DUMMYFUNCTION("""COMPUTED_VALUE"""),26.02)</f>
        <v>26.02</v>
      </c>
      <c r="C1151" s="1">
        <f>IFERROR(__xludf.DUMMYFUNCTION("""COMPUTED_VALUE"""),26.23)</f>
        <v>26.23</v>
      </c>
      <c r="D1151" s="1">
        <f>IFERROR(__xludf.DUMMYFUNCTION("""COMPUTED_VALUE"""),25.82)</f>
        <v>25.82</v>
      </c>
      <c r="E1151" s="1">
        <f>IFERROR(__xludf.DUMMYFUNCTION("""COMPUTED_VALUE"""),25.88)</f>
        <v>25.88</v>
      </c>
      <c r="F1151" s="1">
        <f>IFERROR(__xludf.DUMMYFUNCTION("""COMPUTED_VALUE"""),480113.0)</f>
        <v>480113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IFERROR(__xludf.DUMMYFUNCTION("""COMPUTED_VALUE"""),26.07)</f>
        <v>26.07</v>
      </c>
      <c r="C1152" s="1">
        <f>IFERROR(__xludf.DUMMYFUNCTION("""COMPUTED_VALUE"""),26.33)</f>
        <v>26.33</v>
      </c>
      <c r="D1152" s="1">
        <f>IFERROR(__xludf.DUMMYFUNCTION("""COMPUTED_VALUE"""),25.76)</f>
        <v>25.76</v>
      </c>
      <c r="E1152" s="1">
        <f>IFERROR(__xludf.DUMMYFUNCTION("""COMPUTED_VALUE"""),25.93)</f>
        <v>25.93</v>
      </c>
      <c r="F1152" s="1">
        <f>IFERROR(__xludf.DUMMYFUNCTION("""COMPUTED_VALUE"""),311273.0)</f>
        <v>311273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IFERROR(__xludf.DUMMYFUNCTION("""COMPUTED_VALUE"""),25.68)</f>
        <v>25.68</v>
      </c>
      <c r="C1153" s="1">
        <f>IFERROR(__xludf.DUMMYFUNCTION("""COMPUTED_VALUE"""),26.03)</f>
        <v>26.03</v>
      </c>
      <c r="D1153" s="1">
        <f>IFERROR(__xludf.DUMMYFUNCTION("""COMPUTED_VALUE"""),25.45)</f>
        <v>25.45</v>
      </c>
      <c r="E1153" s="1">
        <f>IFERROR(__xludf.DUMMYFUNCTION("""COMPUTED_VALUE"""),25.59)</f>
        <v>25.59</v>
      </c>
      <c r="F1153" s="1">
        <f>IFERROR(__xludf.DUMMYFUNCTION("""COMPUTED_VALUE"""),658876.0)</f>
        <v>658876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IFERROR(__xludf.DUMMYFUNCTION("""COMPUTED_VALUE"""),25.6)</f>
        <v>25.6</v>
      </c>
      <c r="C1154" s="1">
        <f>IFERROR(__xludf.DUMMYFUNCTION("""COMPUTED_VALUE"""),25.69)</f>
        <v>25.69</v>
      </c>
      <c r="D1154" s="1">
        <f>IFERROR(__xludf.DUMMYFUNCTION("""COMPUTED_VALUE"""),25.11)</f>
        <v>25.11</v>
      </c>
      <c r="E1154" s="1">
        <f>IFERROR(__xludf.DUMMYFUNCTION("""COMPUTED_VALUE"""),25.48)</f>
        <v>25.48</v>
      </c>
      <c r="F1154" s="1">
        <f>IFERROR(__xludf.DUMMYFUNCTION("""COMPUTED_VALUE"""),762599.0)</f>
        <v>762599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IFERROR(__xludf.DUMMYFUNCTION("""COMPUTED_VALUE"""),25.57)</f>
        <v>25.57</v>
      </c>
      <c r="C1155" s="1">
        <f>IFERROR(__xludf.DUMMYFUNCTION("""COMPUTED_VALUE"""),25.66)</f>
        <v>25.66</v>
      </c>
      <c r="D1155" s="1">
        <f>IFERROR(__xludf.DUMMYFUNCTION("""COMPUTED_VALUE"""),25.0)</f>
        <v>25</v>
      </c>
      <c r="E1155" s="1">
        <f>IFERROR(__xludf.DUMMYFUNCTION("""COMPUTED_VALUE"""),25.17)</f>
        <v>25.17</v>
      </c>
      <c r="F1155" s="1">
        <f>IFERROR(__xludf.DUMMYFUNCTION("""COMPUTED_VALUE"""),444360.0)</f>
        <v>444360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IFERROR(__xludf.DUMMYFUNCTION("""COMPUTED_VALUE"""),25.01)</f>
        <v>25.01</v>
      </c>
      <c r="C1156" s="1">
        <f>IFERROR(__xludf.DUMMYFUNCTION("""COMPUTED_VALUE"""),25.28)</f>
        <v>25.28</v>
      </c>
      <c r="D1156" s="1">
        <f>IFERROR(__xludf.DUMMYFUNCTION("""COMPUTED_VALUE"""),24.82)</f>
        <v>24.82</v>
      </c>
      <c r="E1156" s="1">
        <f>IFERROR(__xludf.DUMMYFUNCTION("""COMPUTED_VALUE"""),25.06)</f>
        <v>25.06</v>
      </c>
      <c r="F1156" s="1">
        <f>IFERROR(__xludf.DUMMYFUNCTION("""COMPUTED_VALUE"""),328954.0)</f>
        <v>328954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IFERROR(__xludf.DUMMYFUNCTION("""COMPUTED_VALUE"""),25.0)</f>
        <v>25</v>
      </c>
      <c r="C1157" s="1">
        <f>IFERROR(__xludf.DUMMYFUNCTION("""COMPUTED_VALUE"""),25.36)</f>
        <v>25.36</v>
      </c>
      <c r="D1157" s="1">
        <f>IFERROR(__xludf.DUMMYFUNCTION("""COMPUTED_VALUE"""),25.0)</f>
        <v>25</v>
      </c>
      <c r="E1157" s="1">
        <f>IFERROR(__xludf.DUMMYFUNCTION("""COMPUTED_VALUE"""),25.2)</f>
        <v>25.2</v>
      </c>
      <c r="F1157" s="1">
        <f>IFERROR(__xludf.DUMMYFUNCTION("""COMPUTED_VALUE"""),257510.0)</f>
        <v>257510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IFERROR(__xludf.DUMMYFUNCTION("""COMPUTED_VALUE"""),25.3)</f>
        <v>25.3</v>
      </c>
      <c r="C1158" s="1">
        <f>IFERROR(__xludf.DUMMYFUNCTION("""COMPUTED_VALUE"""),25.3)</f>
        <v>25.3</v>
      </c>
      <c r="D1158" s="1">
        <f>IFERROR(__xludf.DUMMYFUNCTION("""COMPUTED_VALUE"""),24.75)</f>
        <v>24.75</v>
      </c>
      <c r="E1158" s="1">
        <f>IFERROR(__xludf.DUMMYFUNCTION("""COMPUTED_VALUE"""),24.81)</f>
        <v>24.81</v>
      </c>
      <c r="F1158" s="1">
        <f>IFERROR(__xludf.DUMMYFUNCTION("""COMPUTED_VALUE"""),200755.0)</f>
        <v>200755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IFERROR(__xludf.DUMMYFUNCTION("""COMPUTED_VALUE"""),24.81)</f>
        <v>24.81</v>
      </c>
      <c r="C1159" s="1">
        <f>IFERROR(__xludf.DUMMYFUNCTION("""COMPUTED_VALUE"""),25.15)</f>
        <v>25.15</v>
      </c>
      <c r="D1159" s="1">
        <f>IFERROR(__xludf.DUMMYFUNCTION("""COMPUTED_VALUE"""),24.75)</f>
        <v>24.75</v>
      </c>
      <c r="E1159" s="1">
        <f>IFERROR(__xludf.DUMMYFUNCTION("""COMPUTED_VALUE"""),25.09)</f>
        <v>25.09</v>
      </c>
      <c r="F1159" s="1">
        <f>IFERROR(__xludf.DUMMYFUNCTION("""COMPUTED_VALUE"""),257723.0)</f>
        <v>257723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IFERROR(__xludf.DUMMYFUNCTION("""COMPUTED_VALUE"""),25.22)</f>
        <v>25.22</v>
      </c>
      <c r="C1160" s="1">
        <f>IFERROR(__xludf.DUMMYFUNCTION("""COMPUTED_VALUE"""),25.39)</f>
        <v>25.39</v>
      </c>
      <c r="D1160" s="1">
        <f>IFERROR(__xludf.DUMMYFUNCTION("""COMPUTED_VALUE"""),24.96)</f>
        <v>24.96</v>
      </c>
      <c r="E1160" s="1">
        <f>IFERROR(__xludf.DUMMYFUNCTION("""COMPUTED_VALUE"""),25.07)</f>
        <v>25.07</v>
      </c>
      <c r="F1160" s="1">
        <f>IFERROR(__xludf.DUMMYFUNCTION("""COMPUTED_VALUE"""),197814.0)</f>
        <v>197814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IFERROR(__xludf.DUMMYFUNCTION("""COMPUTED_VALUE"""),24.93)</f>
        <v>24.93</v>
      </c>
      <c r="C1161" s="1">
        <f>IFERROR(__xludf.DUMMYFUNCTION("""COMPUTED_VALUE"""),25.21)</f>
        <v>25.21</v>
      </c>
      <c r="D1161" s="1">
        <f>IFERROR(__xludf.DUMMYFUNCTION("""COMPUTED_VALUE"""),24.7)</f>
        <v>24.7</v>
      </c>
      <c r="E1161" s="1">
        <f>IFERROR(__xludf.DUMMYFUNCTION("""COMPUTED_VALUE"""),24.9)</f>
        <v>24.9</v>
      </c>
      <c r="F1161" s="1">
        <f>IFERROR(__xludf.DUMMYFUNCTION("""COMPUTED_VALUE"""),295081.0)</f>
        <v>295081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IFERROR(__xludf.DUMMYFUNCTION("""COMPUTED_VALUE"""),25.0)</f>
        <v>25</v>
      </c>
      <c r="C1162" s="1">
        <f>IFERROR(__xludf.DUMMYFUNCTION("""COMPUTED_VALUE"""),25.35)</f>
        <v>25.35</v>
      </c>
      <c r="D1162" s="1">
        <f>IFERROR(__xludf.DUMMYFUNCTION("""COMPUTED_VALUE"""),24.97)</f>
        <v>24.97</v>
      </c>
      <c r="E1162" s="1">
        <f>IFERROR(__xludf.DUMMYFUNCTION("""COMPUTED_VALUE"""),25.25)</f>
        <v>25.25</v>
      </c>
      <c r="F1162" s="1">
        <f>IFERROR(__xludf.DUMMYFUNCTION("""COMPUTED_VALUE"""),158419.0)</f>
        <v>158419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IFERROR(__xludf.DUMMYFUNCTION("""COMPUTED_VALUE"""),25.26)</f>
        <v>25.26</v>
      </c>
      <c r="C1163" s="1">
        <f>IFERROR(__xludf.DUMMYFUNCTION("""COMPUTED_VALUE"""),25.54)</f>
        <v>25.54</v>
      </c>
      <c r="D1163" s="1">
        <f>IFERROR(__xludf.DUMMYFUNCTION("""COMPUTED_VALUE"""),25.16)</f>
        <v>25.16</v>
      </c>
      <c r="E1163" s="1">
        <f>IFERROR(__xludf.DUMMYFUNCTION("""COMPUTED_VALUE"""),25.21)</f>
        <v>25.21</v>
      </c>
      <c r="F1163" s="1">
        <f>IFERROR(__xludf.DUMMYFUNCTION("""COMPUTED_VALUE"""),254267.0)</f>
        <v>254267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IFERROR(__xludf.DUMMYFUNCTION("""COMPUTED_VALUE"""),25.45)</f>
        <v>25.45</v>
      </c>
      <c r="C1164" s="1">
        <f>IFERROR(__xludf.DUMMYFUNCTION("""COMPUTED_VALUE"""),25.58)</f>
        <v>25.58</v>
      </c>
      <c r="D1164" s="1">
        <f>IFERROR(__xludf.DUMMYFUNCTION("""COMPUTED_VALUE"""),24.89)</f>
        <v>24.89</v>
      </c>
      <c r="E1164" s="1">
        <f>IFERROR(__xludf.DUMMYFUNCTION("""COMPUTED_VALUE"""),25.09)</f>
        <v>25.09</v>
      </c>
      <c r="F1164" s="1">
        <f>IFERROR(__xludf.DUMMYFUNCTION("""COMPUTED_VALUE"""),305618.0)</f>
        <v>305618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IFERROR(__xludf.DUMMYFUNCTION("""COMPUTED_VALUE"""),25.4)</f>
        <v>25.4</v>
      </c>
      <c r="C1165" s="1">
        <f>IFERROR(__xludf.DUMMYFUNCTION("""COMPUTED_VALUE"""),25.73)</f>
        <v>25.73</v>
      </c>
      <c r="D1165" s="1">
        <f>IFERROR(__xludf.DUMMYFUNCTION("""COMPUTED_VALUE"""),25.11)</f>
        <v>25.11</v>
      </c>
      <c r="E1165" s="1">
        <f>IFERROR(__xludf.DUMMYFUNCTION("""COMPUTED_VALUE"""),25.71)</f>
        <v>25.71</v>
      </c>
      <c r="F1165" s="1">
        <f>IFERROR(__xludf.DUMMYFUNCTION("""COMPUTED_VALUE"""),213059.0)</f>
        <v>213059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IFERROR(__xludf.DUMMYFUNCTION("""COMPUTED_VALUE"""),25.69)</f>
        <v>25.69</v>
      </c>
      <c r="C1166" s="1">
        <f>IFERROR(__xludf.DUMMYFUNCTION("""COMPUTED_VALUE"""),25.92)</f>
        <v>25.92</v>
      </c>
      <c r="D1166" s="1">
        <f>IFERROR(__xludf.DUMMYFUNCTION("""COMPUTED_VALUE"""),25.62)</f>
        <v>25.62</v>
      </c>
      <c r="E1166" s="1">
        <f>IFERROR(__xludf.DUMMYFUNCTION("""COMPUTED_VALUE"""),25.76)</f>
        <v>25.76</v>
      </c>
      <c r="F1166" s="1">
        <f>IFERROR(__xludf.DUMMYFUNCTION("""COMPUTED_VALUE"""),197686.0)</f>
        <v>197686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IFERROR(__xludf.DUMMYFUNCTION("""COMPUTED_VALUE"""),25.65)</f>
        <v>25.65</v>
      </c>
      <c r="C1167" s="1">
        <f>IFERROR(__xludf.DUMMYFUNCTION("""COMPUTED_VALUE"""),25.72)</f>
        <v>25.72</v>
      </c>
      <c r="D1167" s="1">
        <f>IFERROR(__xludf.DUMMYFUNCTION("""COMPUTED_VALUE"""),25.37)</f>
        <v>25.37</v>
      </c>
      <c r="E1167" s="1">
        <f>IFERROR(__xludf.DUMMYFUNCTION("""COMPUTED_VALUE"""),25.61)</f>
        <v>25.61</v>
      </c>
      <c r="F1167" s="1">
        <f>IFERROR(__xludf.DUMMYFUNCTION("""COMPUTED_VALUE"""),181944.0)</f>
        <v>181944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IFERROR(__xludf.DUMMYFUNCTION("""COMPUTED_VALUE"""),25.57)</f>
        <v>25.57</v>
      </c>
      <c r="C1168" s="1">
        <f>IFERROR(__xludf.DUMMYFUNCTION("""COMPUTED_VALUE"""),26.09)</f>
        <v>26.09</v>
      </c>
      <c r="D1168" s="1">
        <f>IFERROR(__xludf.DUMMYFUNCTION("""COMPUTED_VALUE"""),25.35)</f>
        <v>25.35</v>
      </c>
      <c r="E1168" s="1">
        <f>IFERROR(__xludf.DUMMYFUNCTION("""COMPUTED_VALUE"""),26.0)</f>
        <v>26</v>
      </c>
      <c r="F1168" s="1">
        <f>IFERROR(__xludf.DUMMYFUNCTION("""COMPUTED_VALUE"""),256161.0)</f>
        <v>256161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IFERROR(__xludf.DUMMYFUNCTION("""COMPUTED_VALUE"""),25.93)</f>
        <v>25.93</v>
      </c>
      <c r="C1169" s="1">
        <f>IFERROR(__xludf.DUMMYFUNCTION("""COMPUTED_VALUE"""),26.26)</f>
        <v>26.26</v>
      </c>
      <c r="D1169" s="1">
        <f>IFERROR(__xludf.DUMMYFUNCTION("""COMPUTED_VALUE"""),25.83)</f>
        <v>25.83</v>
      </c>
      <c r="E1169" s="1">
        <f>IFERROR(__xludf.DUMMYFUNCTION("""COMPUTED_VALUE"""),26.11)</f>
        <v>26.11</v>
      </c>
      <c r="F1169" s="1">
        <f>IFERROR(__xludf.DUMMYFUNCTION("""COMPUTED_VALUE"""),226720.0)</f>
        <v>226720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IFERROR(__xludf.DUMMYFUNCTION("""COMPUTED_VALUE"""),26.26)</f>
        <v>26.26</v>
      </c>
      <c r="C1170" s="1">
        <f>IFERROR(__xludf.DUMMYFUNCTION("""COMPUTED_VALUE"""),26.38)</f>
        <v>26.38</v>
      </c>
      <c r="D1170" s="1">
        <f>IFERROR(__xludf.DUMMYFUNCTION("""COMPUTED_VALUE"""),26.12)</f>
        <v>26.12</v>
      </c>
      <c r="E1170" s="1">
        <f>IFERROR(__xludf.DUMMYFUNCTION("""COMPUTED_VALUE"""),26.19)</f>
        <v>26.19</v>
      </c>
      <c r="F1170" s="1">
        <f>IFERROR(__xludf.DUMMYFUNCTION("""COMPUTED_VALUE"""),167053.0)</f>
        <v>167053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IFERROR(__xludf.DUMMYFUNCTION("""COMPUTED_VALUE"""),26.17)</f>
        <v>26.17</v>
      </c>
      <c r="C1171" s="1">
        <f>IFERROR(__xludf.DUMMYFUNCTION("""COMPUTED_VALUE"""),26.41)</f>
        <v>26.41</v>
      </c>
      <c r="D1171" s="1">
        <f>IFERROR(__xludf.DUMMYFUNCTION("""COMPUTED_VALUE"""),26.17)</f>
        <v>26.17</v>
      </c>
      <c r="E1171" s="1">
        <f>IFERROR(__xludf.DUMMYFUNCTION("""COMPUTED_VALUE"""),26.3)</f>
        <v>26.3</v>
      </c>
      <c r="F1171" s="1">
        <f>IFERROR(__xludf.DUMMYFUNCTION("""COMPUTED_VALUE"""),282539.0)</f>
        <v>282539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IFERROR(__xludf.DUMMYFUNCTION("""COMPUTED_VALUE"""),26.35)</f>
        <v>26.35</v>
      </c>
      <c r="C1172" s="1">
        <f>IFERROR(__xludf.DUMMYFUNCTION("""COMPUTED_VALUE"""),26.35)</f>
        <v>26.35</v>
      </c>
      <c r="D1172" s="1">
        <f>IFERROR(__xludf.DUMMYFUNCTION("""COMPUTED_VALUE"""),26.02)</f>
        <v>26.02</v>
      </c>
      <c r="E1172" s="1">
        <f>IFERROR(__xludf.DUMMYFUNCTION("""COMPUTED_VALUE"""),26.04)</f>
        <v>26.04</v>
      </c>
      <c r="F1172" s="1">
        <f>IFERROR(__xludf.DUMMYFUNCTION("""COMPUTED_VALUE"""),198616.0)</f>
        <v>198616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IFERROR(__xludf.DUMMYFUNCTION("""COMPUTED_VALUE"""),25.81)</f>
        <v>25.81</v>
      </c>
      <c r="C1173" s="1">
        <f>IFERROR(__xludf.DUMMYFUNCTION("""COMPUTED_VALUE"""),26.12)</f>
        <v>26.12</v>
      </c>
      <c r="D1173" s="1">
        <f>IFERROR(__xludf.DUMMYFUNCTION("""COMPUTED_VALUE"""),25.61)</f>
        <v>25.61</v>
      </c>
      <c r="E1173" s="1">
        <f>IFERROR(__xludf.DUMMYFUNCTION("""COMPUTED_VALUE"""),25.95)</f>
        <v>25.95</v>
      </c>
      <c r="F1173" s="1">
        <f>IFERROR(__xludf.DUMMYFUNCTION("""COMPUTED_VALUE"""),314311.0)</f>
        <v>314311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IFERROR(__xludf.DUMMYFUNCTION("""COMPUTED_VALUE"""),25.99)</f>
        <v>25.99</v>
      </c>
      <c r="C1174" s="1">
        <f>IFERROR(__xludf.DUMMYFUNCTION("""COMPUTED_VALUE"""),26.14)</f>
        <v>26.14</v>
      </c>
      <c r="D1174" s="1">
        <f>IFERROR(__xludf.DUMMYFUNCTION("""COMPUTED_VALUE"""),25.89)</f>
        <v>25.89</v>
      </c>
      <c r="E1174" s="1">
        <f>IFERROR(__xludf.DUMMYFUNCTION("""COMPUTED_VALUE"""),26.04)</f>
        <v>26.04</v>
      </c>
      <c r="F1174" s="1">
        <f>IFERROR(__xludf.DUMMYFUNCTION("""COMPUTED_VALUE"""),353052.0)</f>
        <v>353052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IFERROR(__xludf.DUMMYFUNCTION("""COMPUTED_VALUE"""),26.19)</f>
        <v>26.19</v>
      </c>
      <c r="C1175" s="1">
        <f>IFERROR(__xludf.DUMMYFUNCTION("""COMPUTED_VALUE"""),26.74)</f>
        <v>26.74</v>
      </c>
      <c r="D1175" s="1">
        <f>IFERROR(__xludf.DUMMYFUNCTION("""COMPUTED_VALUE"""),26.12)</f>
        <v>26.12</v>
      </c>
      <c r="E1175" s="1">
        <f>IFERROR(__xludf.DUMMYFUNCTION("""COMPUTED_VALUE"""),26.73)</f>
        <v>26.73</v>
      </c>
      <c r="F1175" s="1">
        <f>IFERROR(__xludf.DUMMYFUNCTION("""COMPUTED_VALUE"""),453782.0)</f>
        <v>453782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IFERROR(__xludf.DUMMYFUNCTION("""COMPUTED_VALUE"""),26.8)</f>
        <v>26.8</v>
      </c>
      <c r="C1176" s="1">
        <f>IFERROR(__xludf.DUMMYFUNCTION("""COMPUTED_VALUE"""),26.86)</f>
        <v>26.86</v>
      </c>
      <c r="D1176" s="1">
        <f>IFERROR(__xludf.DUMMYFUNCTION("""COMPUTED_VALUE"""),26.4)</f>
        <v>26.4</v>
      </c>
      <c r="E1176" s="1">
        <f>IFERROR(__xludf.DUMMYFUNCTION("""COMPUTED_VALUE"""),26.42)</f>
        <v>26.42</v>
      </c>
      <c r="F1176" s="1">
        <f>IFERROR(__xludf.DUMMYFUNCTION("""COMPUTED_VALUE"""),265535.0)</f>
        <v>265535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IFERROR(__xludf.DUMMYFUNCTION("""COMPUTED_VALUE"""),26.51)</f>
        <v>26.51</v>
      </c>
      <c r="C1177" s="1">
        <f>IFERROR(__xludf.DUMMYFUNCTION("""COMPUTED_VALUE"""),26.82)</f>
        <v>26.82</v>
      </c>
      <c r="D1177" s="1">
        <f>IFERROR(__xludf.DUMMYFUNCTION("""COMPUTED_VALUE"""),26.22)</f>
        <v>26.22</v>
      </c>
      <c r="E1177" s="1">
        <f>IFERROR(__xludf.DUMMYFUNCTION("""COMPUTED_VALUE"""),26.29)</f>
        <v>26.29</v>
      </c>
      <c r="F1177" s="1">
        <f>IFERROR(__xludf.DUMMYFUNCTION("""COMPUTED_VALUE"""),177946.0)</f>
        <v>177946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IFERROR(__xludf.DUMMYFUNCTION("""COMPUTED_VALUE"""),26.2)</f>
        <v>26.2</v>
      </c>
      <c r="C1178" s="1">
        <f>IFERROR(__xludf.DUMMYFUNCTION("""COMPUTED_VALUE"""),26.42)</f>
        <v>26.42</v>
      </c>
      <c r="D1178" s="1">
        <f>IFERROR(__xludf.DUMMYFUNCTION("""COMPUTED_VALUE"""),26.02)</f>
        <v>26.02</v>
      </c>
      <c r="E1178" s="1">
        <f>IFERROR(__xludf.DUMMYFUNCTION("""COMPUTED_VALUE"""),26.37)</f>
        <v>26.37</v>
      </c>
      <c r="F1178" s="1">
        <f>IFERROR(__xludf.DUMMYFUNCTION("""COMPUTED_VALUE"""),168852.0)</f>
        <v>168852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IFERROR(__xludf.DUMMYFUNCTION("""COMPUTED_VALUE"""),26.38)</f>
        <v>26.38</v>
      </c>
      <c r="C1179" s="1">
        <f>IFERROR(__xludf.DUMMYFUNCTION("""COMPUTED_VALUE"""),26.56)</f>
        <v>26.56</v>
      </c>
      <c r="D1179" s="1">
        <f>IFERROR(__xludf.DUMMYFUNCTION("""COMPUTED_VALUE"""),26.16)</f>
        <v>26.16</v>
      </c>
      <c r="E1179" s="1">
        <f>IFERROR(__xludf.DUMMYFUNCTION("""COMPUTED_VALUE"""),26.47)</f>
        <v>26.47</v>
      </c>
      <c r="F1179" s="1">
        <f>IFERROR(__xludf.DUMMYFUNCTION("""COMPUTED_VALUE"""),195377.0)</f>
        <v>195377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IFERROR(__xludf.DUMMYFUNCTION("""COMPUTED_VALUE"""),26.38)</f>
        <v>26.38</v>
      </c>
      <c r="C1180" s="1">
        <f>IFERROR(__xludf.DUMMYFUNCTION("""COMPUTED_VALUE"""),26.38)</f>
        <v>26.38</v>
      </c>
      <c r="D1180" s="1">
        <f>IFERROR(__xludf.DUMMYFUNCTION("""COMPUTED_VALUE"""),25.98)</f>
        <v>25.98</v>
      </c>
      <c r="E1180" s="1">
        <f>IFERROR(__xludf.DUMMYFUNCTION("""COMPUTED_VALUE"""),26.1)</f>
        <v>26.1</v>
      </c>
      <c r="F1180" s="1">
        <f>IFERROR(__xludf.DUMMYFUNCTION("""COMPUTED_VALUE"""),201286.0)</f>
        <v>201286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IFERROR(__xludf.DUMMYFUNCTION("""COMPUTED_VALUE"""),26.13)</f>
        <v>26.13</v>
      </c>
      <c r="C1181" s="1">
        <f>IFERROR(__xludf.DUMMYFUNCTION("""COMPUTED_VALUE"""),26.63)</f>
        <v>26.63</v>
      </c>
      <c r="D1181" s="1">
        <f>IFERROR(__xludf.DUMMYFUNCTION("""COMPUTED_VALUE"""),26.11)</f>
        <v>26.11</v>
      </c>
      <c r="E1181" s="1">
        <f>IFERROR(__xludf.DUMMYFUNCTION("""COMPUTED_VALUE"""),26.56)</f>
        <v>26.56</v>
      </c>
      <c r="F1181" s="1">
        <f>IFERROR(__xludf.DUMMYFUNCTION("""COMPUTED_VALUE"""),190156.0)</f>
        <v>190156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IFERROR(__xludf.DUMMYFUNCTION("""COMPUTED_VALUE"""),26.38)</f>
        <v>26.38</v>
      </c>
      <c r="C1182" s="1">
        <f>IFERROR(__xludf.DUMMYFUNCTION("""COMPUTED_VALUE"""),26.86)</f>
        <v>26.86</v>
      </c>
      <c r="D1182" s="1">
        <f>IFERROR(__xludf.DUMMYFUNCTION("""COMPUTED_VALUE"""),26.35)</f>
        <v>26.35</v>
      </c>
      <c r="E1182" s="1">
        <f>IFERROR(__xludf.DUMMYFUNCTION("""COMPUTED_VALUE"""),26.79)</f>
        <v>26.79</v>
      </c>
      <c r="F1182" s="1">
        <f>IFERROR(__xludf.DUMMYFUNCTION("""COMPUTED_VALUE"""),161799.0)</f>
        <v>161799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IFERROR(__xludf.DUMMYFUNCTION("""COMPUTED_VALUE"""),26.82)</f>
        <v>26.82</v>
      </c>
      <c r="C1183" s="1">
        <f>IFERROR(__xludf.DUMMYFUNCTION("""COMPUTED_VALUE"""),27.03)</f>
        <v>27.03</v>
      </c>
      <c r="D1183" s="1">
        <f>IFERROR(__xludf.DUMMYFUNCTION("""COMPUTED_VALUE"""),26.49)</f>
        <v>26.49</v>
      </c>
      <c r="E1183" s="1">
        <f>IFERROR(__xludf.DUMMYFUNCTION("""COMPUTED_VALUE"""),26.81)</f>
        <v>26.81</v>
      </c>
      <c r="F1183" s="1">
        <f>IFERROR(__xludf.DUMMYFUNCTION("""COMPUTED_VALUE"""),259619.0)</f>
        <v>259619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IFERROR(__xludf.DUMMYFUNCTION("""COMPUTED_VALUE"""),26.55)</f>
        <v>26.55</v>
      </c>
      <c r="C1184" s="1">
        <f>IFERROR(__xludf.DUMMYFUNCTION("""COMPUTED_VALUE"""),26.8)</f>
        <v>26.8</v>
      </c>
      <c r="D1184" s="1">
        <f>IFERROR(__xludf.DUMMYFUNCTION("""COMPUTED_VALUE"""),26.36)</f>
        <v>26.36</v>
      </c>
      <c r="E1184" s="1">
        <f>IFERROR(__xludf.DUMMYFUNCTION("""COMPUTED_VALUE"""),26.4)</f>
        <v>26.4</v>
      </c>
      <c r="F1184" s="1">
        <f>IFERROR(__xludf.DUMMYFUNCTION("""COMPUTED_VALUE"""),223303.0)</f>
        <v>223303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IFERROR(__xludf.DUMMYFUNCTION("""COMPUTED_VALUE"""),26.52)</f>
        <v>26.52</v>
      </c>
      <c r="C1185" s="1">
        <f>IFERROR(__xludf.DUMMYFUNCTION("""COMPUTED_VALUE"""),26.69)</f>
        <v>26.69</v>
      </c>
      <c r="D1185" s="1">
        <f>IFERROR(__xludf.DUMMYFUNCTION("""COMPUTED_VALUE"""),26.13)</f>
        <v>26.13</v>
      </c>
      <c r="E1185" s="1">
        <f>IFERROR(__xludf.DUMMYFUNCTION("""COMPUTED_VALUE"""),26.21)</f>
        <v>26.21</v>
      </c>
      <c r="F1185" s="1">
        <f>IFERROR(__xludf.DUMMYFUNCTION("""COMPUTED_VALUE"""),347908.0)</f>
        <v>347908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IFERROR(__xludf.DUMMYFUNCTION("""COMPUTED_VALUE"""),26.3)</f>
        <v>26.3</v>
      </c>
      <c r="C1186" s="1">
        <f>IFERROR(__xludf.DUMMYFUNCTION("""COMPUTED_VALUE"""),26.57)</f>
        <v>26.57</v>
      </c>
      <c r="D1186" s="1">
        <f>IFERROR(__xludf.DUMMYFUNCTION("""COMPUTED_VALUE"""),25.99)</f>
        <v>25.99</v>
      </c>
      <c r="E1186" s="1">
        <f>IFERROR(__xludf.DUMMYFUNCTION("""COMPUTED_VALUE"""),26.02)</f>
        <v>26.02</v>
      </c>
      <c r="F1186" s="1">
        <f>IFERROR(__xludf.DUMMYFUNCTION("""COMPUTED_VALUE"""),528334.0)</f>
        <v>528334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IFERROR(__xludf.DUMMYFUNCTION("""COMPUTED_VALUE"""),25.82)</f>
        <v>25.82</v>
      </c>
      <c r="C1187" s="1">
        <f>IFERROR(__xludf.DUMMYFUNCTION("""COMPUTED_VALUE"""),26.81)</f>
        <v>26.81</v>
      </c>
      <c r="D1187" s="1">
        <f>IFERROR(__xludf.DUMMYFUNCTION("""COMPUTED_VALUE"""),25.81)</f>
        <v>25.81</v>
      </c>
      <c r="E1187" s="1">
        <f>IFERROR(__xludf.DUMMYFUNCTION("""COMPUTED_VALUE"""),26.58)</f>
        <v>26.58</v>
      </c>
      <c r="F1187" s="1">
        <f>IFERROR(__xludf.DUMMYFUNCTION("""COMPUTED_VALUE"""),354774.0)</f>
        <v>354774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IFERROR(__xludf.DUMMYFUNCTION("""COMPUTED_VALUE"""),26.77)</f>
        <v>26.77</v>
      </c>
      <c r="C1188" s="1">
        <f>IFERROR(__xludf.DUMMYFUNCTION("""COMPUTED_VALUE"""),26.9)</f>
        <v>26.9</v>
      </c>
      <c r="D1188" s="1">
        <f>IFERROR(__xludf.DUMMYFUNCTION("""COMPUTED_VALUE"""),26.11)</f>
        <v>26.11</v>
      </c>
      <c r="E1188" s="1">
        <f>IFERROR(__xludf.DUMMYFUNCTION("""COMPUTED_VALUE"""),26.33)</f>
        <v>26.33</v>
      </c>
      <c r="F1188" s="1">
        <f>IFERROR(__xludf.DUMMYFUNCTION("""COMPUTED_VALUE"""),733077.0)</f>
        <v>733077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IFERROR(__xludf.DUMMYFUNCTION("""COMPUTED_VALUE"""),26.25)</f>
        <v>26.25</v>
      </c>
      <c r="C1189" s="1">
        <f>IFERROR(__xludf.DUMMYFUNCTION("""COMPUTED_VALUE"""),26.28)</f>
        <v>26.28</v>
      </c>
      <c r="D1189" s="1">
        <f>IFERROR(__xludf.DUMMYFUNCTION("""COMPUTED_VALUE"""),25.81)</f>
        <v>25.81</v>
      </c>
      <c r="E1189" s="1">
        <f>IFERROR(__xludf.DUMMYFUNCTION("""COMPUTED_VALUE"""),25.83)</f>
        <v>25.83</v>
      </c>
      <c r="F1189" s="1">
        <f>IFERROR(__xludf.DUMMYFUNCTION("""COMPUTED_VALUE"""),242436.0)</f>
        <v>242436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IFERROR(__xludf.DUMMYFUNCTION("""COMPUTED_VALUE"""),26.02)</f>
        <v>26.02</v>
      </c>
      <c r="C1190" s="1">
        <f>IFERROR(__xludf.DUMMYFUNCTION("""COMPUTED_VALUE"""),26.05)</f>
        <v>26.05</v>
      </c>
      <c r="D1190" s="1">
        <f>IFERROR(__xludf.DUMMYFUNCTION("""COMPUTED_VALUE"""),25.4)</f>
        <v>25.4</v>
      </c>
      <c r="E1190" s="1">
        <f>IFERROR(__xludf.DUMMYFUNCTION("""COMPUTED_VALUE"""),25.41)</f>
        <v>25.41</v>
      </c>
      <c r="F1190" s="1">
        <f>IFERROR(__xludf.DUMMYFUNCTION("""COMPUTED_VALUE"""),317275.0)</f>
        <v>317275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IFERROR(__xludf.DUMMYFUNCTION("""COMPUTED_VALUE"""),25.31)</f>
        <v>25.31</v>
      </c>
      <c r="C1191" s="1">
        <f>IFERROR(__xludf.DUMMYFUNCTION("""COMPUTED_VALUE"""),25.64)</f>
        <v>25.64</v>
      </c>
      <c r="D1191" s="1">
        <f>IFERROR(__xludf.DUMMYFUNCTION("""COMPUTED_VALUE"""),25.26)</f>
        <v>25.26</v>
      </c>
      <c r="E1191" s="1">
        <f>IFERROR(__xludf.DUMMYFUNCTION("""COMPUTED_VALUE"""),25.62)</f>
        <v>25.62</v>
      </c>
      <c r="F1191" s="1">
        <f>IFERROR(__xludf.DUMMYFUNCTION("""COMPUTED_VALUE"""),218091.0)</f>
        <v>218091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IFERROR(__xludf.DUMMYFUNCTION("""COMPUTED_VALUE"""),25.69)</f>
        <v>25.69</v>
      </c>
      <c r="C1192" s="1">
        <f>IFERROR(__xludf.DUMMYFUNCTION("""COMPUTED_VALUE"""),25.69)</f>
        <v>25.69</v>
      </c>
      <c r="D1192" s="1">
        <f>IFERROR(__xludf.DUMMYFUNCTION("""COMPUTED_VALUE"""),24.97)</f>
        <v>24.97</v>
      </c>
      <c r="E1192" s="1">
        <f>IFERROR(__xludf.DUMMYFUNCTION("""COMPUTED_VALUE"""),25.09)</f>
        <v>25.09</v>
      </c>
      <c r="F1192" s="1">
        <f>IFERROR(__xludf.DUMMYFUNCTION("""COMPUTED_VALUE"""),277370.0)</f>
        <v>277370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IFERROR(__xludf.DUMMYFUNCTION("""COMPUTED_VALUE"""),25.08)</f>
        <v>25.08</v>
      </c>
      <c r="C1193" s="1">
        <f>IFERROR(__xludf.DUMMYFUNCTION("""COMPUTED_VALUE"""),25.42)</f>
        <v>25.42</v>
      </c>
      <c r="D1193" s="1">
        <f>IFERROR(__xludf.DUMMYFUNCTION("""COMPUTED_VALUE"""),24.94)</f>
        <v>24.94</v>
      </c>
      <c r="E1193" s="1">
        <f>IFERROR(__xludf.DUMMYFUNCTION("""COMPUTED_VALUE"""),25.3)</f>
        <v>25.3</v>
      </c>
      <c r="F1193" s="1">
        <f>IFERROR(__xludf.DUMMYFUNCTION("""COMPUTED_VALUE"""),158389.0)</f>
        <v>158389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IFERROR(__xludf.DUMMYFUNCTION("""COMPUTED_VALUE"""),24.96)</f>
        <v>24.96</v>
      </c>
      <c r="C1194" s="1">
        <f>IFERROR(__xludf.DUMMYFUNCTION("""COMPUTED_VALUE"""),25.37)</f>
        <v>25.37</v>
      </c>
      <c r="D1194" s="1">
        <f>IFERROR(__xludf.DUMMYFUNCTION("""COMPUTED_VALUE"""),24.95)</f>
        <v>24.95</v>
      </c>
      <c r="E1194" s="1">
        <f>IFERROR(__xludf.DUMMYFUNCTION("""COMPUTED_VALUE"""),25.26)</f>
        <v>25.26</v>
      </c>
      <c r="F1194" s="1">
        <f>IFERROR(__xludf.DUMMYFUNCTION("""COMPUTED_VALUE"""),242467.0)</f>
        <v>242467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IFERROR(__xludf.DUMMYFUNCTION("""COMPUTED_VALUE"""),25.25)</f>
        <v>25.25</v>
      </c>
      <c r="C1195" s="1">
        <f>IFERROR(__xludf.DUMMYFUNCTION("""COMPUTED_VALUE"""),25.35)</f>
        <v>25.35</v>
      </c>
      <c r="D1195" s="1">
        <f>IFERROR(__xludf.DUMMYFUNCTION("""COMPUTED_VALUE"""),24.81)</f>
        <v>24.81</v>
      </c>
      <c r="E1195" s="1">
        <f>IFERROR(__xludf.DUMMYFUNCTION("""COMPUTED_VALUE"""),24.83)</f>
        <v>24.83</v>
      </c>
      <c r="F1195" s="1">
        <f>IFERROR(__xludf.DUMMYFUNCTION("""COMPUTED_VALUE"""),417226.0)</f>
        <v>417226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IFERROR(__xludf.DUMMYFUNCTION("""COMPUTED_VALUE"""),24.79)</f>
        <v>24.79</v>
      </c>
      <c r="C1196" s="1">
        <f>IFERROR(__xludf.DUMMYFUNCTION("""COMPUTED_VALUE"""),24.99)</f>
        <v>24.99</v>
      </c>
      <c r="D1196" s="1">
        <f>IFERROR(__xludf.DUMMYFUNCTION("""COMPUTED_VALUE"""),24.36)</f>
        <v>24.36</v>
      </c>
      <c r="E1196" s="1">
        <f>IFERROR(__xludf.DUMMYFUNCTION("""COMPUTED_VALUE"""),24.47)</f>
        <v>24.47</v>
      </c>
      <c r="F1196" s="1">
        <f>IFERROR(__xludf.DUMMYFUNCTION("""COMPUTED_VALUE"""),438473.0)</f>
        <v>438473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IFERROR(__xludf.DUMMYFUNCTION("""COMPUTED_VALUE"""),24.64)</f>
        <v>24.64</v>
      </c>
      <c r="C1197" s="1">
        <f>IFERROR(__xludf.DUMMYFUNCTION("""COMPUTED_VALUE"""),24.9)</f>
        <v>24.9</v>
      </c>
      <c r="D1197" s="1">
        <f>IFERROR(__xludf.DUMMYFUNCTION("""COMPUTED_VALUE"""),24.3)</f>
        <v>24.3</v>
      </c>
      <c r="E1197" s="1">
        <f>IFERROR(__xludf.DUMMYFUNCTION("""COMPUTED_VALUE"""),24.68)</f>
        <v>24.68</v>
      </c>
      <c r="F1197" s="1">
        <f>IFERROR(__xludf.DUMMYFUNCTION("""COMPUTED_VALUE"""),207483.0)</f>
        <v>207483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IFERROR(__xludf.DUMMYFUNCTION("""COMPUTED_VALUE"""),25.24)</f>
        <v>25.24</v>
      </c>
      <c r="C1198" s="1">
        <f>IFERROR(__xludf.DUMMYFUNCTION("""COMPUTED_VALUE"""),25.24)</f>
        <v>25.24</v>
      </c>
      <c r="D1198" s="1">
        <f>IFERROR(__xludf.DUMMYFUNCTION("""COMPUTED_VALUE"""),24.91)</f>
        <v>24.91</v>
      </c>
      <c r="E1198" s="1">
        <f>IFERROR(__xludf.DUMMYFUNCTION("""COMPUTED_VALUE"""),24.91)</f>
        <v>24.91</v>
      </c>
      <c r="F1198" s="1">
        <f>IFERROR(__xludf.DUMMYFUNCTION("""COMPUTED_VALUE"""),175651.0)</f>
        <v>175651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IFERROR(__xludf.DUMMYFUNCTION("""COMPUTED_VALUE"""),25.13)</f>
        <v>25.13</v>
      </c>
      <c r="C1199" s="1">
        <f>IFERROR(__xludf.DUMMYFUNCTION("""COMPUTED_VALUE"""),25.17)</f>
        <v>25.17</v>
      </c>
      <c r="D1199" s="1">
        <f>IFERROR(__xludf.DUMMYFUNCTION("""COMPUTED_VALUE"""),24.72)</f>
        <v>24.72</v>
      </c>
      <c r="E1199" s="1">
        <f>IFERROR(__xludf.DUMMYFUNCTION("""COMPUTED_VALUE"""),24.83)</f>
        <v>24.83</v>
      </c>
      <c r="F1199" s="1">
        <f>IFERROR(__xludf.DUMMYFUNCTION("""COMPUTED_VALUE"""),250809.0)</f>
        <v>250809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IFERROR(__xludf.DUMMYFUNCTION("""COMPUTED_VALUE"""),24.58)</f>
        <v>24.58</v>
      </c>
      <c r="C1200" s="1">
        <f>IFERROR(__xludf.DUMMYFUNCTION("""COMPUTED_VALUE"""),24.78)</f>
        <v>24.78</v>
      </c>
      <c r="D1200" s="1">
        <f>IFERROR(__xludf.DUMMYFUNCTION("""COMPUTED_VALUE"""),24.12)</f>
        <v>24.12</v>
      </c>
      <c r="E1200" s="1">
        <f>IFERROR(__xludf.DUMMYFUNCTION("""COMPUTED_VALUE"""),24.13)</f>
        <v>24.13</v>
      </c>
      <c r="F1200" s="1">
        <f>IFERROR(__xludf.DUMMYFUNCTION("""COMPUTED_VALUE"""),291273.0)</f>
        <v>291273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IFERROR(__xludf.DUMMYFUNCTION("""COMPUTED_VALUE"""),24.18)</f>
        <v>24.18</v>
      </c>
      <c r="C1201" s="1">
        <f>IFERROR(__xludf.DUMMYFUNCTION("""COMPUTED_VALUE"""),24.7)</f>
        <v>24.7</v>
      </c>
      <c r="D1201" s="1">
        <f>IFERROR(__xludf.DUMMYFUNCTION("""COMPUTED_VALUE"""),24.05)</f>
        <v>24.05</v>
      </c>
      <c r="E1201" s="1">
        <f>IFERROR(__xludf.DUMMYFUNCTION("""COMPUTED_VALUE"""),24.69)</f>
        <v>24.69</v>
      </c>
      <c r="F1201" s="1">
        <f>IFERROR(__xludf.DUMMYFUNCTION("""COMPUTED_VALUE"""),325522.0)</f>
        <v>325522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IFERROR(__xludf.DUMMYFUNCTION("""COMPUTED_VALUE"""),24.75)</f>
        <v>24.75</v>
      </c>
      <c r="C1202" s="1">
        <f>IFERROR(__xludf.DUMMYFUNCTION("""COMPUTED_VALUE"""),24.75)</f>
        <v>24.75</v>
      </c>
      <c r="D1202" s="1">
        <f>IFERROR(__xludf.DUMMYFUNCTION("""COMPUTED_VALUE"""),23.91)</f>
        <v>23.91</v>
      </c>
      <c r="E1202" s="1">
        <f>IFERROR(__xludf.DUMMYFUNCTION("""COMPUTED_VALUE"""),24.13)</f>
        <v>24.13</v>
      </c>
      <c r="F1202" s="1">
        <f>IFERROR(__xludf.DUMMYFUNCTION("""COMPUTED_VALUE"""),517575.0)</f>
        <v>517575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IFERROR(__xludf.DUMMYFUNCTION("""COMPUTED_VALUE"""),24.05)</f>
        <v>24.05</v>
      </c>
      <c r="C1203" s="1">
        <f>IFERROR(__xludf.DUMMYFUNCTION("""COMPUTED_VALUE"""),24.57)</f>
        <v>24.57</v>
      </c>
      <c r="D1203" s="1">
        <f>IFERROR(__xludf.DUMMYFUNCTION("""COMPUTED_VALUE"""),24.03)</f>
        <v>24.03</v>
      </c>
      <c r="E1203" s="1">
        <f>IFERROR(__xludf.DUMMYFUNCTION("""COMPUTED_VALUE"""),24.2)</f>
        <v>24.2</v>
      </c>
      <c r="F1203" s="1">
        <f>IFERROR(__xludf.DUMMYFUNCTION("""COMPUTED_VALUE"""),418279.0)</f>
        <v>418279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IFERROR(__xludf.DUMMYFUNCTION("""COMPUTED_VALUE"""),24.25)</f>
        <v>24.25</v>
      </c>
      <c r="C1204" s="1">
        <f>IFERROR(__xludf.DUMMYFUNCTION("""COMPUTED_VALUE"""),24.63)</f>
        <v>24.63</v>
      </c>
      <c r="D1204" s="1">
        <f>IFERROR(__xludf.DUMMYFUNCTION("""COMPUTED_VALUE"""),24.11)</f>
        <v>24.11</v>
      </c>
      <c r="E1204" s="1">
        <f>IFERROR(__xludf.DUMMYFUNCTION("""COMPUTED_VALUE"""),24.28)</f>
        <v>24.28</v>
      </c>
      <c r="F1204" s="1">
        <f>IFERROR(__xludf.DUMMYFUNCTION("""COMPUTED_VALUE"""),293431.0)</f>
        <v>293431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IFERROR(__xludf.DUMMYFUNCTION("""COMPUTED_VALUE"""),24.5)</f>
        <v>24.5</v>
      </c>
      <c r="C1205" s="1">
        <f>IFERROR(__xludf.DUMMYFUNCTION("""COMPUTED_VALUE"""),24.96)</f>
        <v>24.96</v>
      </c>
      <c r="D1205" s="1">
        <f>IFERROR(__xludf.DUMMYFUNCTION("""COMPUTED_VALUE"""),24.43)</f>
        <v>24.43</v>
      </c>
      <c r="E1205" s="1">
        <f>IFERROR(__xludf.DUMMYFUNCTION("""COMPUTED_VALUE"""),24.58)</f>
        <v>24.58</v>
      </c>
      <c r="F1205" s="1">
        <f>IFERROR(__xludf.DUMMYFUNCTION("""COMPUTED_VALUE"""),366700.0)</f>
        <v>366700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IFERROR(__xludf.DUMMYFUNCTION("""COMPUTED_VALUE"""),24.32)</f>
        <v>24.32</v>
      </c>
      <c r="C1206" s="1">
        <f>IFERROR(__xludf.DUMMYFUNCTION("""COMPUTED_VALUE"""),24.44)</f>
        <v>24.44</v>
      </c>
      <c r="D1206" s="1">
        <f>IFERROR(__xludf.DUMMYFUNCTION("""COMPUTED_VALUE"""),23.43)</f>
        <v>23.43</v>
      </c>
      <c r="E1206" s="1">
        <f>IFERROR(__xludf.DUMMYFUNCTION("""COMPUTED_VALUE"""),24.04)</f>
        <v>24.04</v>
      </c>
      <c r="F1206" s="1">
        <f>IFERROR(__xludf.DUMMYFUNCTION("""COMPUTED_VALUE"""),682976.0)</f>
        <v>682976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IFERROR(__xludf.DUMMYFUNCTION("""COMPUTED_VALUE"""),23.72)</f>
        <v>23.72</v>
      </c>
      <c r="C1207" s="1">
        <f>IFERROR(__xludf.DUMMYFUNCTION("""COMPUTED_VALUE"""),24.57)</f>
        <v>24.57</v>
      </c>
      <c r="D1207" s="1">
        <f>IFERROR(__xludf.DUMMYFUNCTION("""COMPUTED_VALUE"""),23.64)</f>
        <v>23.64</v>
      </c>
      <c r="E1207" s="1">
        <f>IFERROR(__xludf.DUMMYFUNCTION("""COMPUTED_VALUE"""),24.49)</f>
        <v>24.49</v>
      </c>
      <c r="F1207" s="1">
        <f>IFERROR(__xludf.DUMMYFUNCTION("""COMPUTED_VALUE"""),513254.0)</f>
        <v>513254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IFERROR(__xludf.DUMMYFUNCTION("""COMPUTED_VALUE"""),24.86)</f>
        <v>24.86</v>
      </c>
      <c r="C1208" s="1">
        <f>IFERROR(__xludf.DUMMYFUNCTION("""COMPUTED_VALUE"""),24.97)</f>
        <v>24.97</v>
      </c>
      <c r="D1208" s="1">
        <f>IFERROR(__xludf.DUMMYFUNCTION("""COMPUTED_VALUE"""),24.48)</f>
        <v>24.48</v>
      </c>
      <c r="E1208" s="1">
        <f>IFERROR(__xludf.DUMMYFUNCTION("""COMPUTED_VALUE"""),24.8)</f>
        <v>24.8</v>
      </c>
      <c r="F1208" s="1">
        <f>IFERROR(__xludf.DUMMYFUNCTION("""COMPUTED_VALUE"""),491066.0)</f>
        <v>491066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IFERROR(__xludf.DUMMYFUNCTION("""COMPUTED_VALUE"""),24.55)</f>
        <v>24.55</v>
      </c>
      <c r="C1209" s="1">
        <f>IFERROR(__xludf.DUMMYFUNCTION("""COMPUTED_VALUE"""),24.91)</f>
        <v>24.91</v>
      </c>
      <c r="D1209" s="1">
        <f>IFERROR(__xludf.DUMMYFUNCTION("""COMPUTED_VALUE"""),24.4)</f>
        <v>24.4</v>
      </c>
      <c r="E1209" s="1">
        <f>IFERROR(__xludf.DUMMYFUNCTION("""COMPUTED_VALUE"""),24.56)</f>
        <v>24.56</v>
      </c>
      <c r="F1209" s="1">
        <f>IFERROR(__xludf.DUMMYFUNCTION("""COMPUTED_VALUE"""),476098.0)</f>
        <v>476098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IFERROR(__xludf.DUMMYFUNCTION("""COMPUTED_VALUE"""),24.79)</f>
        <v>24.79</v>
      </c>
      <c r="C1210" s="1">
        <f>IFERROR(__xludf.DUMMYFUNCTION("""COMPUTED_VALUE"""),25.4)</f>
        <v>25.4</v>
      </c>
      <c r="D1210" s="1">
        <f>IFERROR(__xludf.DUMMYFUNCTION("""COMPUTED_VALUE"""),24.68)</f>
        <v>24.68</v>
      </c>
      <c r="E1210" s="1">
        <f>IFERROR(__xludf.DUMMYFUNCTION("""COMPUTED_VALUE"""),25.35)</f>
        <v>25.35</v>
      </c>
      <c r="F1210" s="1">
        <f>IFERROR(__xludf.DUMMYFUNCTION("""COMPUTED_VALUE"""),450615.0)</f>
        <v>450615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IFERROR(__xludf.DUMMYFUNCTION("""COMPUTED_VALUE"""),25.06)</f>
        <v>25.06</v>
      </c>
      <c r="C1211" s="1">
        <f>IFERROR(__xludf.DUMMYFUNCTION("""COMPUTED_VALUE"""),25.46)</f>
        <v>25.46</v>
      </c>
      <c r="D1211" s="1">
        <f>IFERROR(__xludf.DUMMYFUNCTION("""COMPUTED_VALUE"""),24.56)</f>
        <v>24.56</v>
      </c>
      <c r="E1211" s="1">
        <f>IFERROR(__xludf.DUMMYFUNCTION("""COMPUTED_VALUE"""),24.6)</f>
        <v>24.6</v>
      </c>
      <c r="F1211" s="1">
        <f>IFERROR(__xludf.DUMMYFUNCTION("""COMPUTED_VALUE"""),627174.0)</f>
        <v>627174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IFERROR(__xludf.DUMMYFUNCTION("""COMPUTED_VALUE"""),24.8)</f>
        <v>24.8</v>
      </c>
      <c r="C1212" s="1">
        <f>IFERROR(__xludf.DUMMYFUNCTION("""COMPUTED_VALUE"""),25.25)</f>
        <v>25.25</v>
      </c>
      <c r="D1212" s="1">
        <f>IFERROR(__xludf.DUMMYFUNCTION("""COMPUTED_VALUE"""),24.7)</f>
        <v>24.7</v>
      </c>
      <c r="E1212" s="1">
        <f>IFERROR(__xludf.DUMMYFUNCTION("""COMPUTED_VALUE"""),24.9)</f>
        <v>24.9</v>
      </c>
      <c r="F1212" s="1">
        <f>IFERROR(__xludf.DUMMYFUNCTION("""COMPUTED_VALUE"""),403821.0)</f>
        <v>403821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IFERROR(__xludf.DUMMYFUNCTION("""COMPUTED_VALUE"""),24.92)</f>
        <v>24.92</v>
      </c>
      <c r="C1213" s="1">
        <f>IFERROR(__xludf.DUMMYFUNCTION("""COMPUTED_VALUE"""),25.13)</f>
        <v>25.13</v>
      </c>
      <c r="D1213" s="1">
        <f>IFERROR(__xludf.DUMMYFUNCTION("""COMPUTED_VALUE"""),24.81)</f>
        <v>24.81</v>
      </c>
      <c r="E1213" s="1">
        <f>IFERROR(__xludf.DUMMYFUNCTION("""COMPUTED_VALUE"""),25.0)</f>
        <v>25</v>
      </c>
      <c r="F1213" s="1">
        <f>IFERROR(__xludf.DUMMYFUNCTION("""COMPUTED_VALUE"""),224207.0)</f>
        <v>224207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IFERROR(__xludf.DUMMYFUNCTION("""COMPUTED_VALUE"""),25.03)</f>
        <v>25.03</v>
      </c>
      <c r="C1214" s="1">
        <f>IFERROR(__xludf.DUMMYFUNCTION("""COMPUTED_VALUE"""),25.24)</f>
        <v>25.24</v>
      </c>
      <c r="D1214" s="1">
        <f>IFERROR(__xludf.DUMMYFUNCTION("""COMPUTED_VALUE"""),24.74)</f>
        <v>24.74</v>
      </c>
      <c r="E1214" s="1">
        <f>IFERROR(__xludf.DUMMYFUNCTION("""COMPUTED_VALUE"""),25.2)</f>
        <v>25.2</v>
      </c>
      <c r="F1214" s="1">
        <f>IFERROR(__xludf.DUMMYFUNCTION("""COMPUTED_VALUE"""),369505.0)</f>
        <v>369505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IFERROR(__xludf.DUMMYFUNCTION("""COMPUTED_VALUE"""),25.27)</f>
        <v>25.27</v>
      </c>
      <c r="C1215" s="1">
        <f>IFERROR(__xludf.DUMMYFUNCTION("""COMPUTED_VALUE"""),26.04)</f>
        <v>26.04</v>
      </c>
      <c r="D1215" s="1">
        <f>IFERROR(__xludf.DUMMYFUNCTION("""COMPUTED_VALUE"""),25.27)</f>
        <v>25.27</v>
      </c>
      <c r="E1215" s="1">
        <f>IFERROR(__xludf.DUMMYFUNCTION("""COMPUTED_VALUE"""),25.95)</f>
        <v>25.95</v>
      </c>
      <c r="F1215" s="1">
        <f>IFERROR(__xludf.DUMMYFUNCTION("""COMPUTED_VALUE"""),392843.0)</f>
        <v>392843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IFERROR(__xludf.DUMMYFUNCTION("""COMPUTED_VALUE"""),25.65)</f>
        <v>25.65</v>
      </c>
      <c r="C1216" s="1">
        <f>IFERROR(__xludf.DUMMYFUNCTION("""COMPUTED_VALUE"""),26.13)</f>
        <v>26.13</v>
      </c>
      <c r="D1216" s="1">
        <f>IFERROR(__xludf.DUMMYFUNCTION("""COMPUTED_VALUE"""),25.45)</f>
        <v>25.45</v>
      </c>
      <c r="E1216" s="1">
        <f>IFERROR(__xludf.DUMMYFUNCTION("""COMPUTED_VALUE"""),25.91)</f>
        <v>25.91</v>
      </c>
      <c r="F1216" s="1">
        <f>IFERROR(__xludf.DUMMYFUNCTION("""COMPUTED_VALUE"""),643514.0)</f>
        <v>643514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IFERROR(__xludf.DUMMYFUNCTION("""COMPUTED_VALUE"""),25.77)</f>
        <v>25.77</v>
      </c>
      <c r="C1217" s="1">
        <f>IFERROR(__xludf.DUMMYFUNCTION("""COMPUTED_VALUE"""),26.01)</f>
        <v>26.01</v>
      </c>
      <c r="D1217" s="1">
        <f>IFERROR(__xludf.DUMMYFUNCTION("""COMPUTED_VALUE"""),25.57)</f>
        <v>25.57</v>
      </c>
      <c r="E1217" s="1">
        <f>IFERROR(__xludf.DUMMYFUNCTION("""COMPUTED_VALUE"""),25.8)</f>
        <v>25.8</v>
      </c>
      <c r="F1217" s="1">
        <f>IFERROR(__xludf.DUMMYFUNCTION("""COMPUTED_VALUE"""),501105.0)</f>
        <v>501105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IFERROR(__xludf.DUMMYFUNCTION("""COMPUTED_VALUE"""),26.2)</f>
        <v>26.2</v>
      </c>
      <c r="C1218" s="1">
        <f>IFERROR(__xludf.DUMMYFUNCTION("""COMPUTED_VALUE"""),26.44)</f>
        <v>26.44</v>
      </c>
      <c r="D1218" s="1">
        <f>IFERROR(__xludf.DUMMYFUNCTION("""COMPUTED_VALUE"""),25.98)</f>
        <v>25.98</v>
      </c>
      <c r="E1218" s="1">
        <f>IFERROR(__xludf.DUMMYFUNCTION("""COMPUTED_VALUE"""),26.41)</f>
        <v>26.41</v>
      </c>
      <c r="F1218" s="1">
        <f>IFERROR(__xludf.DUMMYFUNCTION("""COMPUTED_VALUE"""),585547.0)</f>
        <v>585547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IFERROR(__xludf.DUMMYFUNCTION("""COMPUTED_VALUE"""),26.26)</f>
        <v>26.26</v>
      </c>
      <c r="C1219" s="1">
        <f>IFERROR(__xludf.DUMMYFUNCTION("""COMPUTED_VALUE"""),26.69)</f>
        <v>26.69</v>
      </c>
      <c r="D1219" s="1">
        <f>IFERROR(__xludf.DUMMYFUNCTION("""COMPUTED_VALUE"""),26.1)</f>
        <v>26.1</v>
      </c>
      <c r="E1219" s="1">
        <f>IFERROR(__xludf.DUMMYFUNCTION("""COMPUTED_VALUE"""),26.31)</f>
        <v>26.31</v>
      </c>
      <c r="F1219" s="1">
        <f>IFERROR(__xludf.DUMMYFUNCTION("""COMPUTED_VALUE"""),286572.0)</f>
        <v>286572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IFERROR(__xludf.DUMMYFUNCTION("""COMPUTED_VALUE"""),26.09)</f>
        <v>26.09</v>
      </c>
      <c r="C1220" s="1">
        <f>IFERROR(__xludf.DUMMYFUNCTION("""COMPUTED_VALUE"""),26.25)</f>
        <v>26.25</v>
      </c>
      <c r="D1220" s="1">
        <f>IFERROR(__xludf.DUMMYFUNCTION("""COMPUTED_VALUE"""),25.84)</f>
        <v>25.84</v>
      </c>
      <c r="E1220" s="1">
        <f>IFERROR(__xludf.DUMMYFUNCTION("""COMPUTED_VALUE"""),26.16)</f>
        <v>26.16</v>
      </c>
      <c r="F1220" s="1">
        <f>IFERROR(__xludf.DUMMYFUNCTION("""COMPUTED_VALUE"""),207807.0)</f>
        <v>207807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IFERROR(__xludf.DUMMYFUNCTION("""COMPUTED_VALUE"""),26.36)</f>
        <v>26.36</v>
      </c>
      <c r="C1221" s="1">
        <f>IFERROR(__xludf.DUMMYFUNCTION("""COMPUTED_VALUE"""),26.46)</f>
        <v>26.46</v>
      </c>
      <c r="D1221" s="1">
        <f>IFERROR(__xludf.DUMMYFUNCTION("""COMPUTED_VALUE"""),26.1)</f>
        <v>26.1</v>
      </c>
      <c r="E1221" s="1">
        <f>IFERROR(__xludf.DUMMYFUNCTION("""COMPUTED_VALUE"""),26.24)</f>
        <v>26.24</v>
      </c>
      <c r="F1221" s="1">
        <f>IFERROR(__xludf.DUMMYFUNCTION("""COMPUTED_VALUE"""),271028.0)</f>
        <v>271028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IFERROR(__xludf.DUMMYFUNCTION("""COMPUTED_VALUE"""),26.18)</f>
        <v>26.18</v>
      </c>
      <c r="C1222" s="1">
        <f>IFERROR(__xludf.DUMMYFUNCTION("""COMPUTED_VALUE"""),26.43)</f>
        <v>26.43</v>
      </c>
      <c r="D1222" s="1">
        <f>IFERROR(__xludf.DUMMYFUNCTION("""COMPUTED_VALUE"""),26.01)</f>
        <v>26.01</v>
      </c>
      <c r="E1222" s="1">
        <f>IFERROR(__xludf.DUMMYFUNCTION("""COMPUTED_VALUE"""),26.25)</f>
        <v>26.25</v>
      </c>
      <c r="F1222" s="1">
        <f>IFERROR(__xludf.DUMMYFUNCTION("""COMPUTED_VALUE"""),413228.0)</f>
        <v>413228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IFERROR(__xludf.DUMMYFUNCTION("""COMPUTED_VALUE"""),26.36)</f>
        <v>26.36</v>
      </c>
      <c r="C1223" s="1">
        <f>IFERROR(__xludf.DUMMYFUNCTION("""COMPUTED_VALUE"""),26.42)</f>
        <v>26.42</v>
      </c>
      <c r="D1223" s="1">
        <f>IFERROR(__xludf.DUMMYFUNCTION("""COMPUTED_VALUE"""),26.08)</f>
        <v>26.08</v>
      </c>
      <c r="E1223" s="1">
        <f>IFERROR(__xludf.DUMMYFUNCTION("""COMPUTED_VALUE"""),26.29)</f>
        <v>26.29</v>
      </c>
      <c r="F1223" s="1">
        <f>IFERROR(__xludf.DUMMYFUNCTION("""COMPUTED_VALUE"""),283395.0)</f>
        <v>283395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IFERROR(__xludf.DUMMYFUNCTION("""COMPUTED_VALUE"""),26.38)</f>
        <v>26.38</v>
      </c>
      <c r="C1224" s="1">
        <f>IFERROR(__xludf.DUMMYFUNCTION("""COMPUTED_VALUE"""),26.61)</f>
        <v>26.61</v>
      </c>
      <c r="D1224" s="1">
        <f>IFERROR(__xludf.DUMMYFUNCTION("""COMPUTED_VALUE"""),26.23)</f>
        <v>26.23</v>
      </c>
      <c r="E1224" s="1">
        <f>IFERROR(__xludf.DUMMYFUNCTION("""COMPUTED_VALUE"""),26.56)</f>
        <v>26.56</v>
      </c>
      <c r="F1224" s="1">
        <f>IFERROR(__xludf.DUMMYFUNCTION("""COMPUTED_VALUE"""),252409.0)</f>
        <v>252409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IFERROR(__xludf.DUMMYFUNCTION("""COMPUTED_VALUE"""),26.37)</f>
        <v>26.37</v>
      </c>
      <c r="C1225" s="1">
        <f>IFERROR(__xludf.DUMMYFUNCTION("""COMPUTED_VALUE"""),26.82)</f>
        <v>26.82</v>
      </c>
      <c r="D1225" s="1">
        <f>IFERROR(__xludf.DUMMYFUNCTION("""COMPUTED_VALUE"""),26.37)</f>
        <v>26.37</v>
      </c>
      <c r="E1225" s="1">
        <f>IFERROR(__xludf.DUMMYFUNCTION("""COMPUTED_VALUE"""),26.6)</f>
        <v>26.6</v>
      </c>
      <c r="F1225" s="1">
        <f>IFERROR(__xludf.DUMMYFUNCTION("""COMPUTED_VALUE"""),361758.0)</f>
        <v>361758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IFERROR(__xludf.DUMMYFUNCTION("""COMPUTED_VALUE"""),26.4)</f>
        <v>26.4</v>
      </c>
      <c r="C1226" s="1">
        <f>IFERROR(__xludf.DUMMYFUNCTION("""COMPUTED_VALUE"""),27.04)</f>
        <v>27.04</v>
      </c>
      <c r="D1226" s="1">
        <f>IFERROR(__xludf.DUMMYFUNCTION("""COMPUTED_VALUE"""),26.4)</f>
        <v>26.4</v>
      </c>
      <c r="E1226" s="1">
        <f>IFERROR(__xludf.DUMMYFUNCTION("""COMPUTED_VALUE"""),27.02)</f>
        <v>27.02</v>
      </c>
      <c r="F1226" s="1">
        <f>IFERROR(__xludf.DUMMYFUNCTION("""COMPUTED_VALUE"""),341560.0)</f>
        <v>341560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IFERROR(__xludf.DUMMYFUNCTION("""COMPUTED_VALUE"""),26.84)</f>
        <v>26.84</v>
      </c>
      <c r="C1227" s="1">
        <f>IFERROR(__xludf.DUMMYFUNCTION("""COMPUTED_VALUE"""),27.02)</f>
        <v>27.02</v>
      </c>
      <c r="D1227" s="1">
        <f>IFERROR(__xludf.DUMMYFUNCTION("""COMPUTED_VALUE"""),26.66)</f>
        <v>26.66</v>
      </c>
      <c r="E1227" s="1">
        <f>IFERROR(__xludf.DUMMYFUNCTION("""COMPUTED_VALUE"""),26.7)</f>
        <v>26.7</v>
      </c>
      <c r="F1227" s="1">
        <f>IFERROR(__xludf.DUMMYFUNCTION("""COMPUTED_VALUE"""),197151.0)</f>
        <v>197151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IFERROR(__xludf.DUMMYFUNCTION("""COMPUTED_VALUE"""),26.73)</f>
        <v>26.73</v>
      </c>
      <c r="C1228" s="1">
        <f>IFERROR(__xludf.DUMMYFUNCTION("""COMPUTED_VALUE"""),26.82)</f>
        <v>26.82</v>
      </c>
      <c r="D1228" s="1">
        <f>IFERROR(__xludf.DUMMYFUNCTION("""COMPUTED_VALUE"""),26.25)</f>
        <v>26.25</v>
      </c>
      <c r="E1228" s="1">
        <f>IFERROR(__xludf.DUMMYFUNCTION("""COMPUTED_VALUE"""),26.28)</f>
        <v>26.28</v>
      </c>
      <c r="F1228" s="1">
        <f>IFERROR(__xludf.DUMMYFUNCTION("""COMPUTED_VALUE"""),308674.0)</f>
        <v>308674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IFERROR(__xludf.DUMMYFUNCTION("""COMPUTED_VALUE"""),26.19)</f>
        <v>26.19</v>
      </c>
      <c r="C1229" s="1">
        <f>IFERROR(__xludf.DUMMYFUNCTION("""COMPUTED_VALUE"""),26.26)</f>
        <v>26.26</v>
      </c>
      <c r="D1229" s="1">
        <f>IFERROR(__xludf.DUMMYFUNCTION("""COMPUTED_VALUE"""),25.87)</f>
        <v>25.87</v>
      </c>
      <c r="E1229" s="1">
        <f>IFERROR(__xludf.DUMMYFUNCTION("""COMPUTED_VALUE"""),26.03)</f>
        <v>26.03</v>
      </c>
      <c r="F1229" s="1">
        <f>IFERROR(__xludf.DUMMYFUNCTION("""COMPUTED_VALUE"""),257800.0)</f>
        <v>257800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IFERROR(__xludf.DUMMYFUNCTION("""COMPUTED_VALUE"""),26.02)</f>
        <v>26.02</v>
      </c>
      <c r="C1230" s="1">
        <f>IFERROR(__xludf.DUMMYFUNCTION("""COMPUTED_VALUE"""),26.33)</f>
        <v>26.33</v>
      </c>
      <c r="D1230" s="1">
        <f>IFERROR(__xludf.DUMMYFUNCTION("""COMPUTED_VALUE"""),25.98)</f>
        <v>25.98</v>
      </c>
      <c r="E1230" s="1">
        <f>IFERROR(__xludf.DUMMYFUNCTION("""COMPUTED_VALUE"""),26.01)</f>
        <v>26.01</v>
      </c>
      <c r="F1230" s="1">
        <f>IFERROR(__xludf.DUMMYFUNCTION("""COMPUTED_VALUE"""),303073.0)</f>
        <v>303073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IFERROR(__xludf.DUMMYFUNCTION("""COMPUTED_VALUE"""),25.9)</f>
        <v>25.9</v>
      </c>
      <c r="C1231" s="1">
        <f>IFERROR(__xludf.DUMMYFUNCTION("""COMPUTED_VALUE"""),25.94)</f>
        <v>25.94</v>
      </c>
      <c r="D1231" s="1">
        <f>IFERROR(__xludf.DUMMYFUNCTION("""COMPUTED_VALUE"""),25.13)</f>
        <v>25.13</v>
      </c>
      <c r="E1231" s="1">
        <f>IFERROR(__xludf.DUMMYFUNCTION("""COMPUTED_VALUE"""),25.43)</f>
        <v>25.43</v>
      </c>
      <c r="F1231" s="1">
        <f>IFERROR(__xludf.DUMMYFUNCTION("""COMPUTED_VALUE"""),477289.0)</f>
        <v>477289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IFERROR(__xludf.DUMMYFUNCTION("""COMPUTED_VALUE"""),25.03)</f>
        <v>25.03</v>
      </c>
      <c r="C1232" s="1">
        <f>IFERROR(__xludf.DUMMYFUNCTION("""COMPUTED_VALUE"""),25.63)</f>
        <v>25.63</v>
      </c>
      <c r="D1232" s="1">
        <f>IFERROR(__xludf.DUMMYFUNCTION("""COMPUTED_VALUE"""),25.03)</f>
        <v>25.03</v>
      </c>
      <c r="E1232" s="1">
        <f>IFERROR(__xludf.DUMMYFUNCTION("""COMPUTED_VALUE"""),25.62)</f>
        <v>25.62</v>
      </c>
      <c r="F1232" s="1">
        <f>IFERROR(__xludf.DUMMYFUNCTION("""COMPUTED_VALUE"""),347966.0)</f>
        <v>347966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IFERROR(__xludf.DUMMYFUNCTION("""COMPUTED_VALUE"""),25.91)</f>
        <v>25.91</v>
      </c>
      <c r="C1233" s="1">
        <f>IFERROR(__xludf.DUMMYFUNCTION("""COMPUTED_VALUE"""),25.94)</f>
        <v>25.94</v>
      </c>
      <c r="D1233" s="1">
        <f>IFERROR(__xludf.DUMMYFUNCTION("""COMPUTED_VALUE"""),25.34)</f>
        <v>25.34</v>
      </c>
      <c r="E1233" s="1">
        <f>IFERROR(__xludf.DUMMYFUNCTION("""COMPUTED_VALUE"""),25.53)</f>
        <v>25.53</v>
      </c>
      <c r="F1233" s="1">
        <f>IFERROR(__xludf.DUMMYFUNCTION("""COMPUTED_VALUE"""),277409.0)</f>
        <v>277409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IFERROR(__xludf.DUMMYFUNCTION("""COMPUTED_VALUE"""),25.61)</f>
        <v>25.61</v>
      </c>
      <c r="C1234" s="1">
        <f>IFERROR(__xludf.DUMMYFUNCTION("""COMPUTED_VALUE"""),26.03)</f>
        <v>26.03</v>
      </c>
      <c r="D1234" s="1">
        <f>IFERROR(__xludf.DUMMYFUNCTION("""COMPUTED_VALUE"""),25.59)</f>
        <v>25.59</v>
      </c>
      <c r="E1234" s="1">
        <f>IFERROR(__xludf.DUMMYFUNCTION("""COMPUTED_VALUE"""),26.02)</f>
        <v>26.02</v>
      </c>
      <c r="F1234" s="1">
        <f>IFERROR(__xludf.DUMMYFUNCTION("""COMPUTED_VALUE"""),277830.0)</f>
        <v>277830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IFERROR(__xludf.DUMMYFUNCTION("""COMPUTED_VALUE"""),26.14)</f>
        <v>26.14</v>
      </c>
      <c r="C1235" s="1">
        <f>IFERROR(__xludf.DUMMYFUNCTION("""COMPUTED_VALUE"""),26.14)</f>
        <v>26.14</v>
      </c>
      <c r="D1235" s="1">
        <f>IFERROR(__xludf.DUMMYFUNCTION("""COMPUTED_VALUE"""),25.88)</f>
        <v>25.88</v>
      </c>
      <c r="E1235" s="1">
        <f>IFERROR(__xludf.DUMMYFUNCTION("""COMPUTED_VALUE"""),26.08)</f>
        <v>26.08</v>
      </c>
      <c r="F1235" s="1">
        <f>IFERROR(__xludf.DUMMYFUNCTION("""COMPUTED_VALUE"""),186283.0)</f>
        <v>186283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IFERROR(__xludf.DUMMYFUNCTION("""COMPUTED_VALUE"""),26.08)</f>
        <v>26.08</v>
      </c>
      <c r="C1236" s="1">
        <f>IFERROR(__xludf.DUMMYFUNCTION("""COMPUTED_VALUE"""),26.15)</f>
        <v>26.15</v>
      </c>
      <c r="D1236" s="1">
        <f>IFERROR(__xludf.DUMMYFUNCTION("""COMPUTED_VALUE"""),25.82)</f>
        <v>25.82</v>
      </c>
      <c r="E1236" s="1">
        <f>IFERROR(__xludf.DUMMYFUNCTION("""COMPUTED_VALUE"""),26.02)</f>
        <v>26.02</v>
      </c>
      <c r="F1236" s="1">
        <f>IFERROR(__xludf.DUMMYFUNCTION("""COMPUTED_VALUE"""),230849.0)</f>
        <v>230849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IFERROR(__xludf.DUMMYFUNCTION("""COMPUTED_VALUE"""),26.08)</f>
        <v>26.08</v>
      </c>
      <c r="C1237" s="1">
        <f>IFERROR(__xludf.DUMMYFUNCTION("""COMPUTED_VALUE"""),26.27)</f>
        <v>26.27</v>
      </c>
      <c r="D1237" s="1">
        <f>IFERROR(__xludf.DUMMYFUNCTION("""COMPUTED_VALUE"""),25.26)</f>
        <v>25.26</v>
      </c>
      <c r="E1237" s="1">
        <f>IFERROR(__xludf.DUMMYFUNCTION("""COMPUTED_VALUE"""),25.38)</f>
        <v>25.38</v>
      </c>
      <c r="F1237" s="1">
        <f>IFERROR(__xludf.DUMMYFUNCTION("""COMPUTED_VALUE"""),216426.0)</f>
        <v>216426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IFERROR(__xludf.DUMMYFUNCTION("""COMPUTED_VALUE"""),25.06)</f>
        <v>25.06</v>
      </c>
      <c r="C1238" s="1">
        <f>IFERROR(__xludf.DUMMYFUNCTION("""COMPUTED_VALUE"""),25.29)</f>
        <v>25.29</v>
      </c>
      <c r="D1238" s="1">
        <f>IFERROR(__xludf.DUMMYFUNCTION("""COMPUTED_VALUE"""),24.72)</f>
        <v>24.72</v>
      </c>
      <c r="E1238" s="1">
        <f>IFERROR(__xludf.DUMMYFUNCTION("""COMPUTED_VALUE"""),24.74)</f>
        <v>24.74</v>
      </c>
      <c r="F1238" s="1">
        <f>IFERROR(__xludf.DUMMYFUNCTION("""COMPUTED_VALUE"""),406703.0)</f>
        <v>406703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IFERROR(__xludf.DUMMYFUNCTION("""COMPUTED_VALUE"""),25.0)</f>
        <v>25</v>
      </c>
      <c r="C1239" s="1">
        <f>IFERROR(__xludf.DUMMYFUNCTION("""COMPUTED_VALUE"""),25.33)</f>
        <v>25.33</v>
      </c>
      <c r="D1239" s="1">
        <f>IFERROR(__xludf.DUMMYFUNCTION("""COMPUTED_VALUE"""),24.81)</f>
        <v>24.81</v>
      </c>
      <c r="E1239" s="1">
        <f>IFERROR(__xludf.DUMMYFUNCTION("""COMPUTED_VALUE"""),24.92)</f>
        <v>24.92</v>
      </c>
      <c r="F1239" s="1">
        <f>IFERROR(__xludf.DUMMYFUNCTION("""COMPUTED_VALUE"""),297056.0)</f>
        <v>297056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IFERROR(__xludf.DUMMYFUNCTION("""COMPUTED_VALUE"""),24.74)</f>
        <v>24.74</v>
      </c>
      <c r="C1240" s="1">
        <f>IFERROR(__xludf.DUMMYFUNCTION("""COMPUTED_VALUE"""),25.39)</f>
        <v>25.39</v>
      </c>
      <c r="D1240" s="1">
        <f>IFERROR(__xludf.DUMMYFUNCTION("""COMPUTED_VALUE"""),24.74)</f>
        <v>24.74</v>
      </c>
      <c r="E1240" s="1">
        <f>IFERROR(__xludf.DUMMYFUNCTION("""COMPUTED_VALUE"""),25.29)</f>
        <v>25.29</v>
      </c>
      <c r="F1240" s="1">
        <f>IFERROR(__xludf.DUMMYFUNCTION("""COMPUTED_VALUE"""),327359.0)</f>
        <v>327359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IFERROR(__xludf.DUMMYFUNCTION("""COMPUTED_VALUE"""),24.97)</f>
        <v>24.97</v>
      </c>
      <c r="C1241" s="1">
        <f>IFERROR(__xludf.DUMMYFUNCTION("""COMPUTED_VALUE"""),25.35)</f>
        <v>25.35</v>
      </c>
      <c r="D1241" s="1">
        <f>IFERROR(__xludf.DUMMYFUNCTION("""COMPUTED_VALUE"""),24.97)</f>
        <v>24.97</v>
      </c>
      <c r="E1241" s="1">
        <f>IFERROR(__xludf.DUMMYFUNCTION("""COMPUTED_VALUE"""),25.26)</f>
        <v>25.26</v>
      </c>
      <c r="F1241" s="1">
        <f>IFERROR(__xludf.DUMMYFUNCTION("""COMPUTED_VALUE"""),311445.0)</f>
        <v>311445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IFERROR(__xludf.DUMMYFUNCTION("""COMPUTED_VALUE"""),25.53)</f>
        <v>25.53</v>
      </c>
      <c r="C1242" s="1">
        <f>IFERROR(__xludf.DUMMYFUNCTION("""COMPUTED_VALUE"""),26.1)</f>
        <v>26.1</v>
      </c>
      <c r="D1242" s="1">
        <f>IFERROR(__xludf.DUMMYFUNCTION("""COMPUTED_VALUE"""),25.31)</f>
        <v>25.31</v>
      </c>
      <c r="E1242" s="1">
        <f>IFERROR(__xludf.DUMMYFUNCTION("""COMPUTED_VALUE"""),25.6)</f>
        <v>25.6</v>
      </c>
      <c r="F1242" s="1">
        <f>IFERROR(__xludf.DUMMYFUNCTION("""COMPUTED_VALUE"""),604334.0)</f>
        <v>604334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IFERROR(__xludf.DUMMYFUNCTION("""COMPUTED_VALUE"""),25.51)</f>
        <v>25.51</v>
      </c>
      <c r="C1243" s="1">
        <f>IFERROR(__xludf.DUMMYFUNCTION("""COMPUTED_VALUE"""),25.81)</f>
        <v>25.81</v>
      </c>
      <c r="D1243" s="1">
        <f>IFERROR(__xludf.DUMMYFUNCTION("""COMPUTED_VALUE"""),25.28)</f>
        <v>25.28</v>
      </c>
      <c r="E1243" s="1">
        <f>IFERROR(__xludf.DUMMYFUNCTION("""COMPUTED_VALUE"""),25.38)</f>
        <v>25.38</v>
      </c>
      <c r="F1243" s="1">
        <f>IFERROR(__xludf.DUMMYFUNCTION("""COMPUTED_VALUE"""),587749.0)</f>
        <v>587749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IFERROR(__xludf.DUMMYFUNCTION("""COMPUTED_VALUE"""),25.06)</f>
        <v>25.06</v>
      </c>
      <c r="C1244" s="1">
        <f>IFERROR(__xludf.DUMMYFUNCTION("""COMPUTED_VALUE"""),25.91)</f>
        <v>25.91</v>
      </c>
      <c r="D1244" s="1">
        <f>IFERROR(__xludf.DUMMYFUNCTION("""COMPUTED_VALUE"""),25.03)</f>
        <v>25.03</v>
      </c>
      <c r="E1244" s="1">
        <f>IFERROR(__xludf.DUMMYFUNCTION("""COMPUTED_VALUE"""),25.89)</f>
        <v>25.89</v>
      </c>
      <c r="F1244" s="1">
        <f>IFERROR(__xludf.DUMMYFUNCTION("""COMPUTED_VALUE"""),440638.0)</f>
        <v>440638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IFERROR(__xludf.DUMMYFUNCTION("""COMPUTED_VALUE"""),25.66)</f>
        <v>25.66</v>
      </c>
      <c r="C1245" s="1">
        <f>IFERROR(__xludf.DUMMYFUNCTION("""COMPUTED_VALUE"""),25.97)</f>
        <v>25.97</v>
      </c>
      <c r="D1245" s="1">
        <f>IFERROR(__xludf.DUMMYFUNCTION("""COMPUTED_VALUE"""),24.96)</f>
        <v>24.96</v>
      </c>
      <c r="E1245" s="1">
        <f>IFERROR(__xludf.DUMMYFUNCTION("""COMPUTED_VALUE"""),24.98)</f>
        <v>24.98</v>
      </c>
      <c r="F1245" s="1">
        <f>IFERROR(__xludf.DUMMYFUNCTION("""COMPUTED_VALUE"""),342327.0)</f>
        <v>342327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IFERROR(__xludf.DUMMYFUNCTION("""COMPUTED_VALUE"""),25.06)</f>
        <v>25.06</v>
      </c>
      <c r="C1246" s="1">
        <f>IFERROR(__xludf.DUMMYFUNCTION("""COMPUTED_VALUE"""),25.45)</f>
        <v>25.45</v>
      </c>
      <c r="D1246" s="1">
        <f>IFERROR(__xludf.DUMMYFUNCTION("""COMPUTED_VALUE"""),25.04)</f>
        <v>25.04</v>
      </c>
      <c r="E1246" s="1">
        <f>IFERROR(__xludf.DUMMYFUNCTION("""COMPUTED_VALUE"""),25.04)</f>
        <v>25.04</v>
      </c>
      <c r="F1246" s="1">
        <f>IFERROR(__xludf.DUMMYFUNCTION("""COMPUTED_VALUE"""),293203.0)</f>
        <v>293203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IFERROR(__xludf.DUMMYFUNCTION("""COMPUTED_VALUE"""),25.1)</f>
        <v>25.1</v>
      </c>
      <c r="C1247" s="1">
        <f>IFERROR(__xludf.DUMMYFUNCTION("""COMPUTED_VALUE"""),25.12)</f>
        <v>25.12</v>
      </c>
      <c r="D1247" s="1">
        <f>IFERROR(__xludf.DUMMYFUNCTION("""COMPUTED_VALUE"""),24.49)</f>
        <v>24.49</v>
      </c>
      <c r="E1247" s="1">
        <f>IFERROR(__xludf.DUMMYFUNCTION("""COMPUTED_VALUE"""),24.49)</f>
        <v>24.49</v>
      </c>
      <c r="F1247" s="1">
        <f>IFERROR(__xludf.DUMMYFUNCTION("""COMPUTED_VALUE"""),427240.0)</f>
        <v>427240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IFERROR(__xludf.DUMMYFUNCTION("""COMPUTED_VALUE"""),24.9)</f>
        <v>24.9</v>
      </c>
      <c r="C1248" s="1">
        <f>IFERROR(__xludf.DUMMYFUNCTION("""COMPUTED_VALUE"""),24.94)</f>
        <v>24.94</v>
      </c>
      <c r="D1248" s="1">
        <f>IFERROR(__xludf.DUMMYFUNCTION("""COMPUTED_VALUE"""),24.01)</f>
        <v>24.01</v>
      </c>
      <c r="E1248" s="1">
        <f>IFERROR(__xludf.DUMMYFUNCTION("""COMPUTED_VALUE"""),24.17)</f>
        <v>24.17</v>
      </c>
      <c r="F1248" s="1">
        <f>IFERROR(__xludf.DUMMYFUNCTION("""COMPUTED_VALUE"""),484645.0)</f>
        <v>484645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IFERROR(__xludf.DUMMYFUNCTION("""COMPUTED_VALUE"""),24.09)</f>
        <v>24.09</v>
      </c>
      <c r="C1249" s="1">
        <f>IFERROR(__xludf.DUMMYFUNCTION("""COMPUTED_VALUE"""),24.66)</f>
        <v>24.66</v>
      </c>
      <c r="D1249" s="1">
        <f>IFERROR(__xludf.DUMMYFUNCTION("""COMPUTED_VALUE"""),23.98)</f>
        <v>23.98</v>
      </c>
      <c r="E1249" s="1">
        <f>IFERROR(__xludf.DUMMYFUNCTION("""COMPUTED_VALUE"""),24.15)</f>
        <v>24.15</v>
      </c>
      <c r="F1249" s="1">
        <f>IFERROR(__xludf.DUMMYFUNCTION("""COMPUTED_VALUE"""),549545.0)</f>
        <v>549545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IFERROR(__xludf.DUMMYFUNCTION("""COMPUTED_VALUE"""),24.14)</f>
        <v>24.14</v>
      </c>
      <c r="C1250" s="1">
        <f>IFERROR(__xludf.DUMMYFUNCTION("""COMPUTED_VALUE"""),25.04)</f>
        <v>25.04</v>
      </c>
      <c r="D1250" s="1">
        <f>IFERROR(__xludf.DUMMYFUNCTION("""COMPUTED_VALUE"""),24.03)</f>
        <v>24.03</v>
      </c>
      <c r="E1250" s="1">
        <f>IFERROR(__xludf.DUMMYFUNCTION("""COMPUTED_VALUE"""),24.93)</f>
        <v>24.93</v>
      </c>
      <c r="F1250" s="1">
        <f>IFERROR(__xludf.DUMMYFUNCTION("""COMPUTED_VALUE"""),451922.0)</f>
        <v>451922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IFERROR(__xludf.DUMMYFUNCTION("""COMPUTED_VALUE"""),24.99)</f>
        <v>24.99</v>
      </c>
      <c r="C1251" s="1">
        <f>IFERROR(__xludf.DUMMYFUNCTION("""COMPUTED_VALUE"""),25.57)</f>
        <v>25.57</v>
      </c>
      <c r="D1251" s="1">
        <f>IFERROR(__xludf.DUMMYFUNCTION("""COMPUTED_VALUE"""),24.94)</f>
        <v>24.94</v>
      </c>
      <c r="E1251" s="1">
        <f>IFERROR(__xludf.DUMMYFUNCTION("""COMPUTED_VALUE"""),25.57)</f>
        <v>25.57</v>
      </c>
      <c r="F1251" s="1">
        <f>IFERROR(__xludf.DUMMYFUNCTION("""COMPUTED_VALUE"""),506936.0)</f>
        <v>506936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IFERROR(__xludf.DUMMYFUNCTION("""COMPUTED_VALUE"""),25.62)</f>
        <v>25.62</v>
      </c>
      <c r="C1252" s="1">
        <f>IFERROR(__xludf.DUMMYFUNCTION("""COMPUTED_VALUE"""),25.66)</f>
        <v>25.66</v>
      </c>
      <c r="D1252" s="1">
        <f>IFERROR(__xludf.DUMMYFUNCTION("""COMPUTED_VALUE"""),24.81)</f>
        <v>24.81</v>
      </c>
      <c r="E1252" s="1">
        <f>IFERROR(__xludf.DUMMYFUNCTION("""COMPUTED_VALUE"""),24.95)</f>
        <v>24.95</v>
      </c>
      <c r="F1252" s="1">
        <f>IFERROR(__xludf.DUMMYFUNCTION("""COMPUTED_VALUE"""),2400646.0)</f>
        <v>2400646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IFERROR(__xludf.DUMMYFUNCTION("""COMPUTED_VALUE"""),25.11)</f>
        <v>25.11</v>
      </c>
      <c r="C1253" s="1">
        <f>IFERROR(__xludf.DUMMYFUNCTION("""COMPUTED_VALUE"""),25.34)</f>
        <v>25.34</v>
      </c>
      <c r="D1253" s="1">
        <f>IFERROR(__xludf.DUMMYFUNCTION("""COMPUTED_VALUE"""),24.75)</f>
        <v>24.75</v>
      </c>
      <c r="E1253" s="1">
        <f>IFERROR(__xludf.DUMMYFUNCTION("""COMPUTED_VALUE"""),25.33)</f>
        <v>25.33</v>
      </c>
      <c r="F1253" s="1">
        <f>IFERROR(__xludf.DUMMYFUNCTION("""COMPUTED_VALUE"""),297753.0)</f>
        <v>297753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IFERROR(__xludf.DUMMYFUNCTION("""COMPUTED_VALUE"""),25.45)</f>
        <v>25.45</v>
      </c>
      <c r="C1254" s="1">
        <f>IFERROR(__xludf.DUMMYFUNCTION("""COMPUTED_VALUE"""),25.65)</f>
        <v>25.65</v>
      </c>
      <c r="D1254" s="1">
        <f>IFERROR(__xludf.DUMMYFUNCTION("""COMPUTED_VALUE"""),25.1)</f>
        <v>25.1</v>
      </c>
      <c r="E1254" s="1">
        <f>IFERROR(__xludf.DUMMYFUNCTION("""COMPUTED_VALUE"""),25.51)</f>
        <v>25.51</v>
      </c>
      <c r="F1254" s="1">
        <f>IFERROR(__xludf.DUMMYFUNCTION("""COMPUTED_VALUE"""),274369.0)</f>
        <v>274369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IFERROR(__xludf.DUMMYFUNCTION("""COMPUTED_VALUE"""),25.48)</f>
        <v>25.48</v>
      </c>
      <c r="C1255" s="1">
        <f>IFERROR(__xludf.DUMMYFUNCTION("""COMPUTED_VALUE"""),25.71)</f>
        <v>25.71</v>
      </c>
      <c r="D1255" s="1">
        <f>IFERROR(__xludf.DUMMYFUNCTION("""COMPUTED_VALUE"""),25.3)</f>
        <v>25.3</v>
      </c>
      <c r="E1255" s="1">
        <f>IFERROR(__xludf.DUMMYFUNCTION("""COMPUTED_VALUE"""),25.6)</f>
        <v>25.6</v>
      </c>
      <c r="F1255" s="1">
        <f>IFERROR(__xludf.DUMMYFUNCTION("""COMPUTED_VALUE"""),127628.0)</f>
        <v>127628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IFERROR(__xludf.DUMMYFUNCTION("""COMPUTED_VALUE"""),25.76)</f>
        <v>25.76</v>
      </c>
      <c r="C1256" s="1">
        <f>IFERROR(__xludf.DUMMYFUNCTION("""COMPUTED_VALUE"""),25.93)</f>
        <v>25.93</v>
      </c>
      <c r="D1256" s="1">
        <f>IFERROR(__xludf.DUMMYFUNCTION("""COMPUTED_VALUE"""),25.64)</f>
        <v>25.64</v>
      </c>
      <c r="E1256" s="1">
        <f>IFERROR(__xludf.DUMMYFUNCTION("""COMPUTED_VALUE"""),25.71)</f>
        <v>25.71</v>
      </c>
      <c r="F1256" s="1">
        <f>IFERROR(__xludf.DUMMYFUNCTION("""COMPUTED_VALUE"""),149878.0)</f>
        <v>149878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IFERROR(__xludf.DUMMYFUNCTION("""COMPUTED_VALUE"""),25.76)</f>
        <v>25.76</v>
      </c>
      <c r="C1257" s="1">
        <f>IFERROR(__xludf.DUMMYFUNCTION("""COMPUTED_VALUE"""),26.38)</f>
        <v>26.38</v>
      </c>
      <c r="D1257" s="1">
        <f>IFERROR(__xludf.DUMMYFUNCTION("""COMPUTED_VALUE"""),25.68)</f>
        <v>25.68</v>
      </c>
      <c r="E1257" s="1">
        <f>IFERROR(__xludf.DUMMYFUNCTION("""COMPUTED_VALUE"""),26.06)</f>
        <v>26.06</v>
      </c>
      <c r="F1257" s="1">
        <f>IFERROR(__xludf.DUMMYFUNCTION("""COMPUTED_VALUE"""),288498.0)</f>
        <v>288498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IFERROR(__xludf.DUMMYFUNCTION("""COMPUTED_VALUE"""),25.95)</f>
        <v>25.95</v>
      </c>
      <c r="C1258" s="1">
        <f>IFERROR(__xludf.DUMMYFUNCTION("""COMPUTED_VALUE"""),26.2)</f>
        <v>26.2</v>
      </c>
      <c r="D1258" s="1">
        <f>IFERROR(__xludf.DUMMYFUNCTION("""COMPUTED_VALUE"""),25.92)</f>
        <v>25.92</v>
      </c>
      <c r="E1258" s="1">
        <f>IFERROR(__xludf.DUMMYFUNCTION("""COMPUTED_VALUE"""),25.96)</f>
        <v>25.96</v>
      </c>
      <c r="F1258" s="1">
        <f>IFERROR(__xludf.DUMMYFUNCTION("""COMPUTED_VALUE"""),176003.0)</f>
        <v>176003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IFERROR(__xludf.DUMMYFUNCTION("""COMPUTED_VALUE"""),26.3)</f>
        <v>26.3</v>
      </c>
      <c r="C1259" s="1">
        <f>IFERROR(__xludf.DUMMYFUNCTION("""COMPUTED_VALUE"""),26.3)</f>
        <v>26.3</v>
      </c>
      <c r="D1259" s="1">
        <f>IFERROR(__xludf.DUMMYFUNCTION("""COMPUTED_VALUE"""),25.59)</f>
        <v>25.59</v>
      </c>
      <c r="E1259" s="1">
        <f>IFERROR(__xludf.DUMMYFUNCTION("""COMPUTED_VALUE"""),25.59)</f>
        <v>25.59</v>
      </c>
      <c r="F1259" s="1">
        <f>IFERROR(__xludf.DUMMYFUNCTION("""COMPUTED_VALUE"""),305244.0)</f>
        <v>305244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IFERROR(__xludf.DUMMYFUNCTION("""COMPUTED_VALUE"""),25.9)</f>
        <v>25.9</v>
      </c>
      <c r="C1260" s="1">
        <f>IFERROR(__xludf.DUMMYFUNCTION("""COMPUTED_VALUE"""),25.91)</f>
        <v>25.91</v>
      </c>
      <c r="D1260" s="1">
        <f>IFERROR(__xludf.DUMMYFUNCTION("""COMPUTED_VALUE"""),24.93)</f>
        <v>24.93</v>
      </c>
      <c r="E1260" s="1">
        <f>IFERROR(__xludf.DUMMYFUNCTION("""COMPUTED_VALUE"""),25.32)</f>
        <v>25.32</v>
      </c>
      <c r="F1260" s="1">
        <f>IFERROR(__xludf.DUMMYFUNCTION("""COMPUTED_VALUE"""),203142.0)</f>
        <v>203142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IFERROR(__xludf.DUMMYFUNCTION("""COMPUTED_VALUE"""),25.13)</f>
        <v>25.13</v>
      </c>
      <c r="C1261" s="1">
        <f>IFERROR(__xludf.DUMMYFUNCTION("""COMPUTED_VALUE"""),25.2)</f>
        <v>25.2</v>
      </c>
      <c r="D1261" s="1">
        <f>IFERROR(__xludf.DUMMYFUNCTION("""COMPUTED_VALUE"""),24.7)</f>
        <v>24.7</v>
      </c>
      <c r="E1261" s="1">
        <f>IFERROR(__xludf.DUMMYFUNCTION("""COMPUTED_VALUE"""),24.74)</f>
        <v>24.74</v>
      </c>
      <c r="F1261" s="1">
        <f>IFERROR(__xludf.DUMMYFUNCTION("""COMPUTED_VALUE"""),265834.0)</f>
        <v>265834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IFERROR(__xludf.DUMMYFUNCTION("""COMPUTED_VALUE"""),24.94)</f>
        <v>24.94</v>
      </c>
      <c r="C1262" s="1">
        <f>IFERROR(__xludf.DUMMYFUNCTION("""COMPUTED_VALUE"""),24.99)</f>
        <v>24.99</v>
      </c>
      <c r="D1262" s="1">
        <f>IFERROR(__xludf.DUMMYFUNCTION("""COMPUTED_VALUE"""),24.11)</f>
        <v>24.11</v>
      </c>
      <c r="E1262" s="1">
        <f>IFERROR(__xludf.DUMMYFUNCTION("""COMPUTED_VALUE"""),24.2)</f>
        <v>24.2</v>
      </c>
      <c r="F1262" s="1">
        <f>IFERROR(__xludf.DUMMYFUNCTION("""COMPUTED_VALUE"""),393217.0)</f>
        <v>393217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IFERROR(__xludf.DUMMYFUNCTION("""COMPUTED_VALUE"""),24.5)</f>
        <v>24.5</v>
      </c>
      <c r="C1263" s="1">
        <f>IFERROR(__xludf.DUMMYFUNCTION("""COMPUTED_VALUE"""),24.5)</f>
        <v>24.5</v>
      </c>
      <c r="D1263" s="1">
        <f>IFERROR(__xludf.DUMMYFUNCTION("""COMPUTED_VALUE"""),24.11)</f>
        <v>24.11</v>
      </c>
      <c r="E1263" s="1">
        <f>IFERROR(__xludf.DUMMYFUNCTION("""COMPUTED_VALUE"""),24.35)</f>
        <v>24.35</v>
      </c>
      <c r="F1263" s="1">
        <f>IFERROR(__xludf.DUMMYFUNCTION("""COMPUTED_VALUE"""),257034.0)</f>
        <v>257034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IFERROR(__xludf.DUMMYFUNCTION("""COMPUTED_VALUE"""),24.29)</f>
        <v>24.29</v>
      </c>
      <c r="C1264" s="1">
        <f>IFERROR(__xludf.DUMMYFUNCTION("""COMPUTED_VALUE"""),24.98)</f>
        <v>24.98</v>
      </c>
      <c r="D1264" s="1">
        <f>IFERROR(__xludf.DUMMYFUNCTION("""COMPUTED_VALUE"""),24.26)</f>
        <v>24.26</v>
      </c>
      <c r="E1264" s="1">
        <f>IFERROR(__xludf.DUMMYFUNCTION("""COMPUTED_VALUE"""),24.79)</f>
        <v>24.79</v>
      </c>
      <c r="F1264" s="1">
        <f>IFERROR(__xludf.DUMMYFUNCTION("""COMPUTED_VALUE"""),492948.0)</f>
        <v>492948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IFERROR(__xludf.DUMMYFUNCTION("""COMPUTED_VALUE"""),24.64)</f>
        <v>24.64</v>
      </c>
      <c r="C1265" s="1">
        <f>IFERROR(__xludf.DUMMYFUNCTION("""COMPUTED_VALUE"""),24.76)</f>
        <v>24.76</v>
      </c>
      <c r="D1265" s="1">
        <f>IFERROR(__xludf.DUMMYFUNCTION("""COMPUTED_VALUE"""),24.0)</f>
        <v>24</v>
      </c>
      <c r="E1265" s="1">
        <f>IFERROR(__xludf.DUMMYFUNCTION("""COMPUTED_VALUE"""),24.02)</f>
        <v>24.02</v>
      </c>
      <c r="F1265" s="1">
        <f>IFERROR(__xludf.DUMMYFUNCTION("""COMPUTED_VALUE"""),262462.0)</f>
        <v>262462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IFERROR(__xludf.DUMMYFUNCTION("""COMPUTED_VALUE"""),24.05)</f>
        <v>24.05</v>
      </c>
      <c r="C1266" s="1">
        <f>IFERROR(__xludf.DUMMYFUNCTION("""COMPUTED_VALUE"""),24.16)</f>
        <v>24.16</v>
      </c>
      <c r="D1266" s="1">
        <f>IFERROR(__xludf.DUMMYFUNCTION("""COMPUTED_VALUE"""),23.75)</f>
        <v>23.75</v>
      </c>
      <c r="E1266" s="1">
        <f>IFERROR(__xludf.DUMMYFUNCTION("""COMPUTED_VALUE"""),23.8)</f>
        <v>23.8</v>
      </c>
      <c r="F1266" s="1">
        <f>IFERROR(__xludf.DUMMYFUNCTION("""COMPUTED_VALUE"""),335173.0)</f>
        <v>335173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IFERROR(__xludf.DUMMYFUNCTION("""COMPUTED_VALUE"""),24.11)</f>
        <v>24.11</v>
      </c>
      <c r="C1267" s="1">
        <f>IFERROR(__xludf.DUMMYFUNCTION("""COMPUTED_VALUE"""),24.48)</f>
        <v>24.48</v>
      </c>
      <c r="D1267" s="1">
        <f>IFERROR(__xludf.DUMMYFUNCTION("""COMPUTED_VALUE"""),23.55)</f>
        <v>23.55</v>
      </c>
      <c r="E1267" s="1">
        <f>IFERROR(__xludf.DUMMYFUNCTION("""COMPUTED_VALUE"""),23.84)</f>
        <v>23.84</v>
      </c>
      <c r="F1267" s="1">
        <f>IFERROR(__xludf.DUMMYFUNCTION("""COMPUTED_VALUE"""),537783.0)</f>
        <v>537783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IFERROR(__xludf.DUMMYFUNCTION("""COMPUTED_VALUE"""),23.36)</f>
        <v>23.36</v>
      </c>
      <c r="C1268" s="1">
        <f>IFERROR(__xludf.DUMMYFUNCTION("""COMPUTED_VALUE"""),23.53)</f>
        <v>23.53</v>
      </c>
      <c r="D1268" s="1">
        <f>IFERROR(__xludf.DUMMYFUNCTION("""COMPUTED_VALUE"""),22.9)</f>
        <v>22.9</v>
      </c>
      <c r="E1268" s="1">
        <f>IFERROR(__xludf.DUMMYFUNCTION("""COMPUTED_VALUE"""),23.28)</f>
        <v>23.28</v>
      </c>
      <c r="F1268" s="1">
        <f>IFERROR(__xludf.DUMMYFUNCTION("""COMPUTED_VALUE"""),318369.0)</f>
        <v>318369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IFERROR(__xludf.DUMMYFUNCTION("""COMPUTED_VALUE"""),23.24)</f>
        <v>23.24</v>
      </c>
      <c r="C1269" s="1">
        <f>IFERROR(__xludf.DUMMYFUNCTION("""COMPUTED_VALUE"""),23.4)</f>
        <v>23.4</v>
      </c>
      <c r="D1269" s="1">
        <f>IFERROR(__xludf.DUMMYFUNCTION("""COMPUTED_VALUE"""),22.95)</f>
        <v>22.95</v>
      </c>
      <c r="E1269" s="1">
        <f>IFERROR(__xludf.DUMMYFUNCTION("""COMPUTED_VALUE"""),23.07)</f>
        <v>23.07</v>
      </c>
      <c r="F1269" s="1">
        <f>IFERROR(__xludf.DUMMYFUNCTION("""COMPUTED_VALUE"""),372117.0)</f>
        <v>372117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IFERROR(__xludf.DUMMYFUNCTION("""COMPUTED_VALUE"""),22.97)</f>
        <v>22.97</v>
      </c>
      <c r="C1270" s="1">
        <f>IFERROR(__xludf.DUMMYFUNCTION("""COMPUTED_VALUE"""),23.67)</f>
        <v>23.67</v>
      </c>
      <c r="D1270" s="1">
        <f>IFERROR(__xludf.DUMMYFUNCTION("""COMPUTED_VALUE"""),22.97)</f>
        <v>22.97</v>
      </c>
      <c r="E1270" s="1">
        <f>IFERROR(__xludf.DUMMYFUNCTION("""COMPUTED_VALUE"""),23.63)</f>
        <v>23.63</v>
      </c>
      <c r="F1270" s="1">
        <f>IFERROR(__xludf.DUMMYFUNCTION("""COMPUTED_VALUE"""),298861.0)</f>
        <v>298861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IFERROR(__xludf.DUMMYFUNCTION("""COMPUTED_VALUE"""),23.65)</f>
        <v>23.65</v>
      </c>
      <c r="C1271" s="1">
        <f>IFERROR(__xludf.DUMMYFUNCTION("""COMPUTED_VALUE"""),23.67)</f>
        <v>23.67</v>
      </c>
      <c r="D1271" s="1">
        <f>IFERROR(__xludf.DUMMYFUNCTION("""COMPUTED_VALUE"""),23.27)</f>
        <v>23.27</v>
      </c>
      <c r="E1271" s="1">
        <f>IFERROR(__xludf.DUMMYFUNCTION("""COMPUTED_VALUE"""),23.38)</f>
        <v>23.38</v>
      </c>
      <c r="F1271" s="1">
        <f>IFERROR(__xludf.DUMMYFUNCTION("""COMPUTED_VALUE"""),325409.0)</f>
        <v>325409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IFERROR(__xludf.DUMMYFUNCTION("""COMPUTED_VALUE"""),23.5)</f>
        <v>23.5</v>
      </c>
      <c r="C1272" s="1">
        <f>IFERROR(__xludf.DUMMYFUNCTION("""COMPUTED_VALUE"""),23.73)</f>
        <v>23.73</v>
      </c>
      <c r="D1272" s="1">
        <f>IFERROR(__xludf.DUMMYFUNCTION("""COMPUTED_VALUE"""),23.2)</f>
        <v>23.2</v>
      </c>
      <c r="E1272" s="1">
        <f>IFERROR(__xludf.DUMMYFUNCTION("""COMPUTED_VALUE"""),23.53)</f>
        <v>23.53</v>
      </c>
      <c r="F1272" s="1">
        <f>IFERROR(__xludf.DUMMYFUNCTION("""COMPUTED_VALUE"""),444408.0)</f>
        <v>444408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IFERROR(__xludf.DUMMYFUNCTION("""COMPUTED_VALUE"""),24.0)</f>
        <v>24</v>
      </c>
      <c r="C1273" s="1">
        <f>IFERROR(__xludf.DUMMYFUNCTION("""COMPUTED_VALUE"""),25.17)</f>
        <v>25.17</v>
      </c>
      <c r="D1273" s="1">
        <f>IFERROR(__xludf.DUMMYFUNCTION("""COMPUTED_VALUE"""),23.34)</f>
        <v>23.34</v>
      </c>
      <c r="E1273" s="1">
        <f>IFERROR(__xludf.DUMMYFUNCTION("""COMPUTED_VALUE"""),25.06)</f>
        <v>25.06</v>
      </c>
      <c r="F1273" s="1">
        <f>IFERROR(__xludf.DUMMYFUNCTION("""COMPUTED_VALUE"""),926548.0)</f>
        <v>926548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IFERROR(__xludf.DUMMYFUNCTION("""COMPUTED_VALUE"""),24.9)</f>
        <v>24.9</v>
      </c>
      <c r="C1274" s="1">
        <f>IFERROR(__xludf.DUMMYFUNCTION("""COMPUTED_VALUE"""),25.11)</f>
        <v>25.11</v>
      </c>
      <c r="D1274" s="1">
        <f>IFERROR(__xludf.DUMMYFUNCTION("""COMPUTED_VALUE"""),24.54)</f>
        <v>24.54</v>
      </c>
      <c r="E1274" s="1">
        <f>IFERROR(__xludf.DUMMYFUNCTION("""COMPUTED_VALUE"""),24.54)</f>
        <v>24.54</v>
      </c>
      <c r="F1274" s="1">
        <f>IFERROR(__xludf.DUMMYFUNCTION("""COMPUTED_VALUE"""),302217.0)</f>
        <v>302217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IFERROR(__xludf.DUMMYFUNCTION("""COMPUTED_VALUE"""),24.55)</f>
        <v>24.55</v>
      </c>
      <c r="C1275" s="1">
        <f>IFERROR(__xludf.DUMMYFUNCTION("""COMPUTED_VALUE"""),24.97)</f>
        <v>24.97</v>
      </c>
      <c r="D1275" s="1">
        <f>IFERROR(__xludf.DUMMYFUNCTION("""COMPUTED_VALUE"""),24.2)</f>
        <v>24.2</v>
      </c>
      <c r="E1275" s="1">
        <f>IFERROR(__xludf.DUMMYFUNCTION("""COMPUTED_VALUE"""),24.87)</f>
        <v>24.87</v>
      </c>
      <c r="F1275" s="1">
        <f>IFERROR(__xludf.DUMMYFUNCTION("""COMPUTED_VALUE"""),278097.0)</f>
        <v>278097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IFERROR(__xludf.DUMMYFUNCTION("""COMPUTED_VALUE"""),24.21)</f>
        <v>24.21</v>
      </c>
      <c r="C1276" s="1">
        <f>IFERROR(__xludf.DUMMYFUNCTION("""COMPUTED_VALUE"""),24.8)</f>
        <v>24.8</v>
      </c>
      <c r="D1276" s="1">
        <f>IFERROR(__xludf.DUMMYFUNCTION("""COMPUTED_VALUE"""),24.21)</f>
        <v>24.21</v>
      </c>
      <c r="E1276" s="1">
        <f>IFERROR(__xludf.DUMMYFUNCTION("""COMPUTED_VALUE"""),24.6)</f>
        <v>24.6</v>
      </c>
      <c r="F1276" s="1">
        <f>IFERROR(__xludf.DUMMYFUNCTION("""COMPUTED_VALUE"""),272278.0)</f>
        <v>272278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IFERROR(__xludf.DUMMYFUNCTION("""COMPUTED_VALUE"""),24.66)</f>
        <v>24.66</v>
      </c>
      <c r="C1277" s="1">
        <f>IFERROR(__xludf.DUMMYFUNCTION("""COMPUTED_VALUE"""),24.74)</f>
        <v>24.74</v>
      </c>
      <c r="D1277" s="1">
        <f>IFERROR(__xludf.DUMMYFUNCTION("""COMPUTED_VALUE"""),23.79)</f>
        <v>23.79</v>
      </c>
      <c r="E1277" s="1">
        <f>IFERROR(__xludf.DUMMYFUNCTION("""COMPUTED_VALUE"""),23.87)</f>
        <v>23.87</v>
      </c>
      <c r="F1277" s="1">
        <f>IFERROR(__xludf.DUMMYFUNCTION("""COMPUTED_VALUE"""),389889.0)</f>
        <v>389889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IFERROR(__xludf.DUMMYFUNCTION("""COMPUTED_VALUE"""),23.88)</f>
        <v>23.88</v>
      </c>
      <c r="C1278" s="1">
        <f>IFERROR(__xludf.DUMMYFUNCTION("""COMPUTED_VALUE"""),24.47)</f>
        <v>24.47</v>
      </c>
      <c r="D1278" s="1">
        <f>IFERROR(__xludf.DUMMYFUNCTION("""COMPUTED_VALUE"""),23.65)</f>
        <v>23.65</v>
      </c>
      <c r="E1278" s="1">
        <f>IFERROR(__xludf.DUMMYFUNCTION("""COMPUTED_VALUE"""),24.46)</f>
        <v>24.46</v>
      </c>
      <c r="F1278" s="1">
        <f>IFERROR(__xludf.DUMMYFUNCTION("""COMPUTED_VALUE"""),445001.0)</f>
        <v>445001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IFERROR(__xludf.DUMMYFUNCTION("""COMPUTED_VALUE"""),24.4)</f>
        <v>24.4</v>
      </c>
      <c r="C1279" s="1">
        <f>IFERROR(__xludf.DUMMYFUNCTION("""COMPUTED_VALUE"""),24.41)</f>
        <v>24.41</v>
      </c>
      <c r="D1279" s="1">
        <f>IFERROR(__xludf.DUMMYFUNCTION("""COMPUTED_VALUE"""),23.87)</f>
        <v>23.87</v>
      </c>
      <c r="E1279" s="1">
        <f>IFERROR(__xludf.DUMMYFUNCTION("""COMPUTED_VALUE"""),23.89)</f>
        <v>23.89</v>
      </c>
      <c r="F1279" s="1">
        <f>IFERROR(__xludf.DUMMYFUNCTION("""COMPUTED_VALUE"""),371677.0)</f>
        <v>371677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IFERROR(__xludf.DUMMYFUNCTION("""COMPUTED_VALUE"""),24.18)</f>
        <v>24.18</v>
      </c>
      <c r="C1280" s="1">
        <f>IFERROR(__xludf.DUMMYFUNCTION("""COMPUTED_VALUE"""),24.93)</f>
        <v>24.93</v>
      </c>
      <c r="D1280" s="1">
        <f>IFERROR(__xludf.DUMMYFUNCTION("""COMPUTED_VALUE"""),23.73)</f>
        <v>23.73</v>
      </c>
      <c r="E1280" s="1">
        <f>IFERROR(__xludf.DUMMYFUNCTION("""COMPUTED_VALUE"""),24.87)</f>
        <v>24.87</v>
      </c>
      <c r="F1280" s="1">
        <f>IFERROR(__xludf.DUMMYFUNCTION("""COMPUTED_VALUE"""),495192.0)</f>
        <v>495192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IFERROR(__xludf.DUMMYFUNCTION("""COMPUTED_VALUE"""),24.94)</f>
        <v>24.94</v>
      </c>
      <c r="C1281" s="1">
        <f>IFERROR(__xludf.DUMMYFUNCTION("""COMPUTED_VALUE"""),25.48)</f>
        <v>25.48</v>
      </c>
      <c r="D1281" s="1">
        <f>IFERROR(__xludf.DUMMYFUNCTION("""COMPUTED_VALUE"""),24.94)</f>
        <v>24.94</v>
      </c>
      <c r="E1281" s="1">
        <f>IFERROR(__xludf.DUMMYFUNCTION("""COMPUTED_VALUE"""),25.45)</f>
        <v>25.45</v>
      </c>
      <c r="F1281" s="1">
        <f>IFERROR(__xludf.DUMMYFUNCTION("""COMPUTED_VALUE"""),436836.0)</f>
        <v>436836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IFERROR(__xludf.DUMMYFUNCTION("""COMPUTED_VALUE"""),25.27)</f>
        <v>25.27</v>
      </c>
      <c r="C1282" s="1">
        <f>IFERROR(__xludf.DUMMYFUNCTION("""COMPUTED_VALUE"""),25.59)</f>
        <v>25.59</v>
      </c>
      <c r="D1282" s="1">
        <f>IFERROR(__xludf.DUMMYFUNCTION("""COMPUTED_VALUE"""),25.1)</f>
        <v>25.1</v>
      </c>
      <c r="E1282" s="1">
        <f>IFERROR(__xludf.DUMMYFUNCTION("""COMPUTED_VALUE"""),25.19)</f>
        <v>25.19</v>
      </c>
      <c r="F1282" s="1">
        <f>IFERROR(__xludf.DUMMYFUNCTION("""COMPUTED_VALUE"""),313041.0)</f>
        <v>313041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IFERROR(__xludf.DUMMYFUNCTION("""COMPUTED_VALUE"""),25.2)</f>
        <v>25.2</v>
      </c>
      <c r="C1283" s="1">
        <f>IFERROR(__xludf.DUMMYFUNCTION("""COMPUTED_VALUE"""),25.81)</f>
        <v>25.81</v>
      </c>
      <c r="D1283" s="1">
        <f>IFERROR(__xludf.DUMMYFUNCTION("""COMPUTED_VALUE"""),25.2)</f>
        <v>25.2</v>
      </c>
      <c r="E1283" s="1">
        <f>IFERROR(__xludf.DUMMYFUNCTION("""COMPUTED_VALUE"""),25.8)</f>
        <v>25.8</v>
      </c>
      <c r="F1283" s="1">
        <f>IFERROR(__xludf.DUMMYFUNCTION("""COMPUTED_VALUE"""),330572.0)</f>
        <v>330572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IFERROR(__xludf.DUMMYFUNCTION("""COMPUTED_VALUE"""),25.9)</f>
        <v>25.9</v>
      </c>
      <c r="C1284" s="1">
        <f>IFERROR(__xludf.DUMMYFUNCTION("""COMPUTED_VALUE"""),26.52)</f>
        <v>26.52</v>
      </c>
      <c r="D1284" s="1">
        <f>IFERROR(__xludf.DUMMYFUNCTION("""COMPUTED_VALUE"""),25.8)</f>
        <v>25.8</v>
      </c>
      <c r="E1284" s="1">
        <f>IFERROR(__xludf.DUMMYFUNCTION("""COMPUTED_VALUE"""),26.12)</f>
        <v>26.12</v>
      </c>
      <c r="F1284" s="1">
        <f>IFERROR(__xludf.DUMMYFUNCTION("""COMPUTED_VALUE"""),449767.0)</f>
        <v>449767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IFERROR(__xludf.DUMMYFUNCTION("""COMPUTED_VALUE"""),25.59)</f>
        <v>25.59</v>
      </c>
      <c r="C1285" s="1">
        <f>IFERROR(__xludf.DUMMYFUNCTION("""COMPUTED_VALUE"""),26.01)</f>
        <v>26.01</v>
      </c>
      <c r="D1285" s="1">
        <f>IFERROR(__xludf.DUMMYFUNCTION("""COMPUTED_VALUE"""),25.58)</f>
        <v>25.58</v>
      </c>
      <c r="E1285" s="1">
        <f>IFERROR(__xludf.DUMMYFUNCTION("""COMPUTED_VALUE"""),25.65)</f>
        <v>25.65</v>
      </c>
      <c r="F1285" s="1">
        <f>IFERROR(__xludf.DUMMYFUNCTION("""COMPUTED_VALUE"""),228396.0)</f>
        <v>228396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IFERROR(__xludf.DUMMYFUNCTION("""COMPUTED_VALUE"""),25.7)</f>
        <v>25.7</v>
      </c>
      <c r="C1286" s="1">
        <f>IFERROR(__xludf.DUMMYFUNCTION("""COMPUTED_VALUE"""),25.99)</f>
        <v>25.99</v>
      </c>
      <c r="D1286" s="1">
        <f>IFERROR(__xludf.DUMMYFUNCTION("""COMPUTED_VALUE"""),25.43)</f>
        <v>25.43</v>
      </c>
      <c r="E1286" s="1">
        <f>IFERROR(__xludf.DUMMYFUNCTION("""COMPUTED_VALUE"""),25.71)</f>
        <v>25.71</v>
      </c>
      <c r="F1286" s="1">
        <f>IFERROR(__xludf.DUMMYFUNCTION("""COMPUTED_VALUE"""),229823.0)</f>
        <v>229823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IFERROR(__xludf.DUMMYFUNCTION("""COMPUTED_VALUE"""),25.57)</f>
        <v>25.57</v>
      </c>
      <c r="C1287" s="1">
        <f>IFERROR(__xludf.DUMMYFUNCTION("""COMPUTED_VALUE"""),25.64)</f>
        <v>25.64</v>
      </c>
      <c r="D1287" s="1">
        <f>IFERROR(__xludf.DUMMYFUNCTION("""COMPUTED_VALUE"""),25.22)</f>
        <v>25.22</v>
      </c>
      <c r="E1287" s="1">
        <f>IFERROR(__xludf.DUMMYFUNCTION("""COMPUTED_VALUE"""),25.29)</f>
        <v>25.29</v>
      </c>
      <c r="F1287" s="1">
        <f>IFERROR(__xludf.DUMMYFUNCTION("""COMPUTED_VALUE"""),342421.0)</f>
        <v>342421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IFERROR(__xludf.DUMMYFUNCTION("""COMPUTED_VALUE"""),25.51)</f>
        <v>25.51</v>
      </c>
      <c r="C1288" s="1">
        <f>IFERROR(__xludf.DUMMYFUNCTION("""COMPUTED_VALUE"""),25.77)</f>
        <v>25.77</v>
      </c>
      <c r="D1288" s="1">
        <f>IFERROR(__xludf.DUMMYFUNCTION("""COMPUTED_VALUE"""),25.33)</f>
        <v>25.33</v>
      </c>
      <c r="E1288" s="1">
        <f>IFERROR(__xludf.DUMMYFUNCTION("""COMPUTED_VALUE"""),25.72)</f>
        <v>25.72</v>
      </c>
      <c r="F1288" s="1">
        <f>IFERROR(__xludf.DUMMYFUNCTION("""COMPUTED_VALUE"""),530432.0)</f>
        <v>530432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IFERROR(__xludf.DUMMYFUNCTION("""COMPUTED_VALUE"""),25.69)</f>
        <v>25.69</v>
      </c>
      <c r="C1289" s="1">
        <f>IFERROR(__xludf.DUMMYFUNCTION("""COMPUTED_VALUE"""),26.18)</f>
        <v>26.18</v>
      </c>
      <c r="D1289" s="1">
        <f>IFERROR(__xludf.DUMMYFUNCTION("""COMPUTED_VALUE"""),25.61)</f>
        <v>25.61</v>
      </c>
      <c r="E1289" s="1">
        <f>IFERROR(__xludf.DUMMYFUNCTION("""COMPUTED_VALUE"""),26.14)</f>
        <v>26.14</v>
      </c>
      <c r="F1289" s="1">
        <f>IFERROR(__xludf.DUMMYFUNCTION("""COMPUTED_VALUE"""),281039.0)</f>
        <v>281039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IFERROR(__xludf.DUMMYFUNCTION("""COMPUTED_VALUE"""),26.06)</f>
        <v>26.06</v>
      </c>
      <c r="C1290" s="1">
        <f>IFERROR(__xludf.DUMMYFUNCTION("""COMPUTED_VALUE"""),26.25)</f>
        <v>26.25</v>
      </c>
      <c r="D1290" s="1">
        <f>IFERROR(__xludf.DUMMYFUNCTION("""COMPUTED_VALUE"""),25.89)</f>
        <v>25.89</v>
      </c>
      <c r="E1290" s="1">
        <f>IFERROR(__xludf.DUMMYFUNCTION("""COMPUTED_VALUE"""),26.23)</f>
        <v>26.23</v>
      </c>
      <c r="F1290" s="1">
        <f>IFERROR(__xludf.DUMMYFUNCTION("""COMPUTED_VALUE"""),217993.0)</f>
        <v>217993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IFERROR(__xludf.DUMMYFUNCTION("""COMPUTED_VALUE"""),26.1)</f>
        <v>26.1</v>
      </c>
      <c r="C1291" s="1">
        <f>IFERROR(__xludf.DUMMYFUNCTION("""COMPUTED_VALUE"""),26.14)</f>
        <v>26.14</v>
      </c>
      <c r="D1291" s="1">
        <f>IFERROR(__xludf.DUMMYFUNCTION("""COMPUTED_VALUE"""),25.58)</f>
        <v>25.58</v>
      </c>
      <c r="E1291" s="1">
        <f>IFERROR(__xludf.DUMMYFUNCTION("""COMPUTED_VALUE"""),25.73)</f>
        <v>25.73</v>
      </c>
      <c r="F1291" s="1">
        <f>IFERROR(__xludf.DUMMYFUNCTION("""COMPUTED_VALUE"""),267641.0)</f>
        <v>267641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IFERROR(__xludf.DUMMYFUNCTION("""COMPUTED_VALUE"""),25.48)</f>
        <v>25.48</v>
      </c>
      <c r="C1292" s="1">
        <f>IFERROR(__xludf.DUMMYFUNCTION("""COMPUTED_VALUE"""),25.73)</f>
        <v>25.73</v>
      </c>
      <c r="D1292" s="1">
        <f>IFERROR(__xludf.DUMMYFUNCTION("""COMPUTED_VALUE"""),25.39)</f>
        <v>25.39</v>
      </c>
      <c r="E1292" s="1">
        <f>IFERROR(__xludf.DUMMYFUNCTION("""COMPUTED_VALUE"""),25.52)</f>
        <v>25.52</v>
      </c>
      <c r="F1292" s="1">
        <f>IFERROR(__xludf.DUMMYFUNCTION("""COMPUTED_VALUE"""),270520.0)</f>
        <v>270520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IFERROR(__xludf.DUMMYFUNCTION("""COMPUTED_VALUE"""),25.42)</f>
        <v>25.42</v>
      </c>
      <c r="C1293" s="1">
        <f>IFERROR(__xludf.DUMMYFUNCTION("""COMPUTED_VALUE"""),25.84)</f>
        <v>25.84</v>
      </c>
      <c r="D1293" s="1">
        <f>IFERROR(__xludf.DUMMYFUNCTION("""COMPUTED_VALUE"""),25.05)</f>
        <v>25.05</v>
      </c>
      <c r="E1293" s="1">
        <f>IFERROR(__xludf.DUMMYFUNCTION("""COMPUTED_VALUE"""),25.77)</f>
        <v>25.77</v>
      </c>
      <c r="F1293" s="1">
        <f>IFERROR(__xludf.DUMMYFUNCTION("""COMPUTED_VALUE"""),435042.0)</f>
        <v>435042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IFERROR(__xludf.DUMMYFUNCTION("""COMPUTED_VALUE"""),25.59)</f>
        <v>25.59</v>
      </c>
      <c r="C1294" s="1">
        <f>IFERROR(__xludf.DUMMYFUNCTION("""COMPUTED_VALUE"""),25.78)</f>
        <v>25.78</v>
      </c>
      <c r="D1294" s="1">
        <f>IFERROR(__xludf.DUMMYFUNCTION("""COMPUTED_VALUE"""),25.43)</f>
        <v>25.43</v>
      </c>
      <c r="E1294" s="1">
        <f>IFERROR(__xludf.DUMMYFUNCTION("""COMPUTED_VALUE"""),25.65)</f>
        <v>25.65</v>
      </c>
      <c r="F1294" s="1">
        <f>IFERROR(__xludf.DUMMYFUNCTION("""COMPUTED_VALUE"""),315726.0)</f>
        <v>315726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IFERROR(__xludf.DUMMYFUNCTION("""COMPUTED_VALUE"""),25.77)</f>
        <v>25.77</v>
      </c>
      <c r="C1295" s="1">
        <f>IFERROR(__xludf.DUMMYFUNCTION("""COMPUTED_VALUE"""),26.02)</f>
        <v>26.02</v>
      </c>
      <c r="D1295" s="1">
        <f>IFERROR(__xludf.DUMMYFUNCTION("""COMPUTED_VALUE"""),25.63)</f>
        <v>25.63</v>
      </c>
      <c r="E1295" s="1">
        <f>IFERROR(__xludf.DUMMYFUNCTION("""COMPUTED_VALUE"""),25.86)</f>
        <v>25.86</v>
      </c>
      <c r="F1295" s="1">
        <f>IFERROR(__xludf.DUMMYFUNCTION("""COMPUTED_VALUE"""),219805.0)</f>
        <v>219805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IFERROR(__xludf.DUMMYFUNCTION("""COMPUTED_VALUE"""),25.84)</f>
        <v>25.84</v>
      </c>
      <c r="C1296" s="1">
        <f>IFERROR(__xludf.DUMMYFUNCTION("""COMPUTED_VALUE"""),25.84)</f>
        <v>25.84</v>
      </c>
      <c r="D1296" s="1">
        <f>IFERROR(__xludf.DUMMYFUNCTION("""COMPUTED_VALUE"""),25.54)</f>
        <v>25.54</v>
      </c>
      <c r="E1296" s="1">
        <f>IFERROR(__xludf.DUMMYFUNCTION("""COMPUTED_VALUE"""),25.59)</f>
        <v>25.59</v>
      </c>
      <c r="F1296" s="1">
        <f>IFERROR(__xludf.DUMMYFUNCTION("""COMPUTED_VALUE"""),297054.0)</f>
        <v>297054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IFERROR(__xludf.DUMMYFUNCTION("""COMPUTED_VALUE"""),25.57)</f>
        <v>25.57</v>
      </c>
      <c r="C1297" s="1">
        <f>IFERROR(__xludf.DUMMYFUNCTION("""COMPUTED_VALUE"""),25.84)</f>
        <v>25.84</v>
      </c>
      <c r="D1297" s="1">
        <f>IFERROR(__xludf.DUMMYFUNCTION("""COMPUTED_VALUE"""),25.4)</f>
        <v>25.4</v>
      </c>
      <c r="E1297" s="1">
        <f>IFERROR(__xludf.DUMMYFUNCTION("""COMPUTED_VALUE"""),25.84)</f>
        <v>25.84</v>
      </c>
      <c r="F1297" s="1">
        <f>IFERROR(__xludf.DUMMYFUNCTION("""COMPUTED_VALUE"""),445945.0)</f>
        <v>445945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IFERROR(__xludf.DUMMYFUNCTION("""COMPUTED_VALUE"""),25.88)</f>
        <v>25.88</v>
      </c>
      <c r="C1298" s="1">
        <f>IFERROR(__xludf.DUMMYFUNCTION("""COMPUTED_VALUE"""),26.18)</f>
        <v>26.18</v>
      </c>
      <c r="D1298" s="1">
        <f>IFERROR(__xludf.DUMMYFUNCTION("""COMPUTED_VALUE"""),25.61)</f>
        <v>25.61</v>
      </c>
      <c r="E1298" s="1">
        <f>IFERROR(__xludf.DUMMYFUNCTION("""COMPUTED_VALUE"""),25.83)</f>
        <v>25.83</v>
      </c>
      <c r="F1298" s="1">
        <f>IFERROR(__xludf.DUMMYFUNCTION("""COMPUTED_VALUE"""),438976.0)</f>
        <v>438976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IFERROR(__xludf.DUMMYFUNCTION("""COMPUTED_VALUE"""),26.12)</f>
        <v>26.12</v>
      </c>
      <c r="C1299" s="1">
        <f>IFERROR(__xludf.DUMMYFUNCTION("""COMPUTED_VALUE"""),26.4)</f>
        <v>26.4</v>
      </c>
      <c r="D1299" s="1">
        <f>IFERROR(__xludf.DUMMYFUNCTION("""COMPUTED_VALUE"""),25.71)</f>
        <v>25.71</v>
      </c>
      <c r="E1299" s="1">
        <f>IFERROR(__xludf.DUMMYFUNCTION("""COMPUTED_VALUE"""),26.36)</f>
        <v>26.36</v>
      </c>
      <c r="F1299" s="1">
        <f>IFERROR(__xludf.DUMMYFUNCTION("""COMPUTED_VALUE"""),339344.0)</f>
        <v>339344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IFERROR(__xludf.DUMMYFUNCTION("""COMPUTED_VALUE"""),26.44)</f>
        <v>26.44</v>
      </c>
      <c r="C1300" s="1">
        <f>IFERROR(__xludf.DUMMYFUNCTION("""COMPUTED_VALUE"""),26.44)</f>
        <v>26.44</v>
      </c>
      <c r="D1300" s="1">
        <f>IFERROR(__xludf.DUMMYFUNCTION("""COMPUTED_VALUE"""),26.03)</f>
        <v>26.03</v>
      </c>
      <c r="E1300" s="1">
        <f>IFERROR(__xludf.DUMMYFUNCTION("""COMPUTED_VALUE"""),26.11)</f>
        <v>26.11</v>
      </c>
      <c r="F1300" s="1">
        <f>IFERROR(__xludf.DUMMYFUNCTION("""COMPUTED_VALUE"""),310223.0)</f>
        <v>310223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IFERROR(__xludf.DUMMYFUNCTION("""COMPUTED_VALUE"""),25.93)</f>
        <v>25.93</v>
      </c>
      <c r="C1301" s="1">
        <f>IFERROR(__xludf.DUMMYFUNCTION("""COMPUTED_VALUE"""),26.1)</f>
        <v>26.1</v>
      </c>
      <c r="D1301" s="1">
        <f>IFERROR(__xludf.DUMMYFUNCTION("""COMPUTED_VALUE"""),25.74)</f>
        <v>25.74</v>
      </c>
      <c r="E1301" s="1">
        <f>IFERROR(__xludf.DUMMYFUNCTION("""COMPUTED_VALUE"""),26.02)</f>
        <v>26.02</v>
      </c>
      <c r="F1301" s="1">
        <f>IFERROR(__xludf.DUMMYFUNCTION("""COMPUTED_VALUE"""),296800.0)</f>
        <v>296800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IFERROR(__xludf.DUMMYFUNCTION("""COMPUTED_VALUE"""),26.04)</f>
        <v>26.04</v>
      </c>
      <c r="C1302" s="1">
        <f>IFERROR(__xludf.DUMMYFUNCTION("""COMPUTED_VALUE"""),26.2)</f>
        <v>26.2</v>
      </c>
      <c r="D1302" s="1">
        <f>IFERROR(__xludf.DUMMYFUNCTION("""COMPUTED_VALUE"""),25.7)</f>
        <v>25.7</v>
      </c>
      <c r="E1302" s="1">
        <f>IFERROR(__xludf.DUMMYFUNCTION("""COMPUTED_VALUE"""),26.16)</f>
        <v>26.16</v>
      </c>
      <c r="F1302" s="1">
        <f>IFERROR(__xludf.DUMMYFUNCTION("""COMPUTED_VALUE"""),215074.0)</f>
        <v>215074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IFERROR(__xludf.DUMMYFUNCTION("""COMPUTED_VALUE"""),26.29)</f>
        <v>26.29</v>
      </c>
      <c r="C1303" s="1">
        <f>IFERROR(__xludf.DUMMYFUNCTION("""COMPUTED_VALUE"""),26.88)</f>
        <v>26.88</v>
      </c>
      <c r="D1303" s="1">
        <f>IFERROR(__xludf.DUMMYFUNCTION("""COMPUTED_VALUE"""),26.08)</f>
        <v>26.08</v>
      </c>
      <c r="E1303" s="1">
        <f>IFERROR(__xludf.DUMMYFUNCTION("""COMPUTED_VALUE"""),26.47)</f>
        <v>26.47</v>
      </c>
      <c r="F1303" s="1">
        <f>IFERROR(__xludf.DUMMYFUNCTION("""COMPUTED_VALUE"""),440957.0)</f>
        <v>440957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IFERROR(__xludf.DUMMYFUNCTION("""COMPUTED_VALUE"""),26.18)</f>
        <v>26.18</v>
      </c>
      <c r="C1304" s="1">
        <f>IFERROR(__xludf.DUMMYFUNCTION("""COMPUTED_VALUE"""),27.08)</f>
        <v>27.08</v>
      </c>
      <c r="D1304" s="1">
        <f>IFERROR(__xludf.DUMMYFUNCTION("""COMPUTED_VALUE"""),26.17)</f>
        <v>26.17</v>
      </c>
      <c r="E1304" s="1">
        <f>IFERROR(__xludf.DUMMYFUNCTION("""COMPUTED_VALUE"""),26.96)</f>
        <v>26.96</v>
      </c>
      <c r="F1304" s="1">
        <f>IFERROR(__xludf.DUMMYFUNCTION("""COMPUTED_VALUE"""),503848.0)</f>
        <v>503848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IFERROR(__xludf.DUMMYFUNCTION("""COMPUTED_VALUE"""),26.64)</f>
        <v>26.64</v>
      </c>
      <c r="C1305" s="1">
        <f>IFERROR(__xludf.DUMMYFUNCTION("""COMPUTED_VALUE"""),26.79)</f>
        <v>26.79</v>
      </c>
      <c r="D1305" s="1">
        <f>IFERROR(__xludf.DUMMYFUNCTION("""COMPUTED_VALUE"""),26.24)</f>
        <v>26.24</v>
      </c>
      <c r="E1305" s="1">
        <f>IFERROR(__xludf.DUMMYFUNCTION("""COMPUTED_VALUE"""),26.5)</f>
        <v>26.5</v>
      </c>
      <c r="F1305" s="1">
        <f>IFERROR(__xludf.DUMMYFUNCTION("""COMPUTED_VALUE"""),382702.0)</f>
        <v>382702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IFERROR(__xludf.DUMMYFUNCTION("""COMPUTED_VALUE"""),26.5)</f>
        <v>26.5</v>
      </c>
      <c r="C1306" s="1">
        <f>IFERROR(__xludf.DUMMYFUNCTION("""COMPUTED_VALUE"""),26.98)</f>
        <v>26.98</v>
      </c>
      <c r="D1306" s="1">
        <f>IFERROR(__xludf.DUMMYFUNCTION("""COMPUTED_VALUE"""),26.5)</f>
        <v>26.5</v>
      </c>
      <c r="E1306" s="1">
        <f>IFERROR(__xludf.DUMMYFUNCTION("""COMPUTED_VALUE"""),26.95)</f>
        <v>26.95</v>
      </c>
      <c r="F1306" s="1">
        <f>IFERROR(__xludf.DUMMYFUNCTION("""COMPUTED_VALUE"""),508515.0)</f>
        <v>508515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IFERROR(__xludf.DUMMYFUNCTION("""COMPUTED_VALUE"""),27.1)</f>
        <v>27.1</v>
      </c>
      <c r="C1307" s="1">
        <f>IFERROR(__xludf.DUMMYFUNCTION("""COMPUTED_VALUE"""),27.73)</f>
        <v>27.73</v>
      </c>
      <c r="D1307" s="1">
        <f>IFERROR(__xludf.DUMMYFUNCTION("""COMPUTED_VALUE"""),26.96)</f>
        <v>26.96</v>
      </c>
      <c r="E1307" s="1">
        <f>IFERROR(__xludf.DUMMYFUNCTION("""COMPUTED_VALUE"""),27.71)</f>
        <v>27.71</v>
      </c>
      <c r="F1307" s="1">
        <f>IFERROR(__xludf.DUMMYFUNCTION("""COMPUTED_VALUE"""),341264.0)</f>
        <v>341264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IFERROR(__xludf.DUMMYFUNCTION("""COMPUTED_VALUE"""),27.39)</f>
        <v>27.39</v>
      </c>
      <c r="C1308" s="1">
        <f>IFERROR(__xludf.DUMMYFUNCTION("""COMPUTED_VALUE"""),27.69)</f>
        <v>27.69</v>
      </c>
      <c r="D1308" s="1">
        <f>IFERROR(__xludf.DUMMYFUNCTION("""COMPUTED_VALUE"""),26.95)</f>
        <v>26.95</v>
      </c>
      <c r="E1308" s="1">
        <f>IFERROR(__xludf.DUMMYFUNCTION("""COMPUTED_VALUE"""),27.36)</f>
        <v>27.36</v>
      </c>
      <c r="F1308" s="1">
        <f>IFERROR(__xludf.DUMMYFUNCTION("""COMPUTED_VALUE"""),423576.0)</f>
        <v>423576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IFERROR(__xludf.DUMMYFUNCTION("""COMPUTED_VALUE"""),27.4)</f>
        <v>27.4</v>
      </c>
      <c r="C1309" s="1">
        <f>IFERROR(__xludf.DUMMYFUNCTION("""COMPUTED_VALUE"""),27.85)</f>
        <v>27.85</v>
      </c>
      <c r="D1309" s="1">
        <f>IFERROR(__xludf.DUMMYFUNCTION("""COMPUTED_VALUE"""),27.31)</f>
        <v>27.31</v>
      </c>
      <c r="E1309" s="1">
        <f>IFERROR(__xludf.DUMMYFUNCTION("""COMPUTED_VALUE"""),27.71)</f>
        <v>27.71</v>
      </c>
      <c r="F1309" s="1">
        <f>IFERROR(__xludf.DUMMYFUNCTION("""COMPUTED_VALUE"""),406846.0)</f>
        <v>406846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IFERROR(__xludf.DUMMYFUNCTION("""COMPUTED_VALUE"""),27.7)</f>
        <v>27.7</v>
      </c>
      <c r="C1310" s="1">
        <f>IFERROR(__xludf.DUMMYFUNCTION("""COMPUTED_VALUE"""),27.97)</f>
        <v>27.97</v>
      </c>
      <c r="D1310" s="1">
        <f>IFERROR(__xludf.DUMMYFUNCTION("""COMPUTED_VALUE"""),27.37)</f>
        <v>27.37</v>
      </c>
      <c r="E1310" s="1">
        <f>IFERROR(__xludf.DUMMYFUNCTION("""COMPUTED_VALUE"""),27.96)</f>
        <v>27.96</v>
      </c>
      <c r="F1310" s="1">
        <f>IFERROR(__xludf.DUMMYFUNCTION("""COMPUTED_VALUE"""),349941.0)</f>
        <v>349941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IFERROR(__xludf.DUMMYFUNCTION("""COMPUTED_VALUE"""),27.6)</f>
        <v>27.6</v>
      </c>
      <c r="C1311" s="1">
        <f>IFERROR(__xludf.DUMMYFUNCTION("""COMPUTED_VALUE"""),28.33)</f>
        <v>28.33</v>
      </c>
      <c r="D1311" s="1">
        <f>IFERROR(__xludf.DUMMYFUNCTION("""COMPUTED_VALUE"""),27.43)</f>
        <v>27.43</v>
      </c>
      <c r="E1311" s="1">
        <f>IFERROR(__xludf.DUMMYFUNCTION("""COMPUTED_VALUE"""),27.66)</f>
        <v>27.66</v>
      </c>
      <c r="F1311" s="1">
        <f>IFERROR(__xludf.DUMMYFUNCTION("""COMPUTED_VALUE"""),388189.0)</f>
        <v>388189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IFERROR(__xludf.DUMMYFUNCTION("""COMPUTED_VALUE"""),27.4)</f>
        <v>27.4</v>
      </c>
      <c r="C1312" s="1">
        <f>IFERROR(__xludf.DUMMYFUNCTION("""COMPUTED_VALUE"""),27.79)</f>
        <v>27.79</v>
      </c>
      <c r="D1312" s="1">
        <f>IFERROR(__xludf.DUMMYFUNCTION("""COMPUTED_VALUE"""),27.23)</f>
        <v>27.23</v>
      </c>
      <c r="E1312" s="1">
        <f>IFERROR(__xludf.DUMMYFUNCTION("""COMPUTED_VALUE"""),27.53)</f>
        <v>27.53</v>
      </c>
      <c r="F1312" s="1">
        <f>IFERROR(__xludf.DUMMYFUNCTION("""COMPUTED_VALUE"""),212190.0)</f>
        <v>212190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IFERROR(__xludf.DUMMYFUNCTION("""COMPUTED_VALUE"""),27.27)</f>
        <v>27.27</v>
      </c>
      <c r="C1313" s="1">
        <f>IFERROR(__xludf.DUMMYFUNCTION("""COMPUTED_VALUE"""),28.11)</f>
        <v>28.11</v>
      </c>
      <c r="D1313" s="1">
        <f>IFERROR(__xludf.DUMMYFUNCTION("""COMPUTED_VALUE"""),27.27)</f>
        <v>27.27</v>
      </c>
      <c r="E1313" s="1">
        <f>IFERROR(__xludf.DUMMYFUNCTION("""COMPUTED_VALUE"""),28.08)</f>
        <v>28.08</v>
      </c>
      <c r="F1313" s="1">
        <f>IFERROR(__xludf.DUMMYFUNCTION("""COMPUTED_VALUE"""),828444.0)</f>
        <v>828444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IFERROR(__xludf.DUMMYFUNCTION("""COMPUTED_VALUE"""),27.21)</f>
        <v>27.21</v>
      </c>
      <c r="C1314" s="1">
        <f>IFERROR(__xludf.DUMMYFUNCTION("""COMPUTED_VALUE"""),28.03)</f>
        <v>28.03</v>
      </c>
      <c r="D1314" s="1">
        <f>IFERROR(__xludf.DUMMYFUNCTION("""COMPUTED_VALUE"""),27.21)</f>
        <v>27.21</v>
      </c>
      <c r="E1314" s="1">
        <f>IFERROR(__xludf.DUMMYFUNCTION("""COMPUTED_VALUE"""),27.83)</f>
        <v>27.83</v>
      </c>
      <c r="F1314" s="1">
        <f>IFERROR(__xludf.DUMMYFUNCTION("""COMPUTED_VALUE"""),272054.0)</f>
        <v>272054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IFERROR(__xludf.DUMMYFUNCTION("""COMPUTED_VALUE"""),27.62)</f>
        <v>27.62</v>
      </c>
      <c r="C1315" s="1">
        <f>IFERROR(__xludf.DUMMYFUNCTION("""COMPUTED_VALUE"""),27.94)</f>
        <v>27.94</v>
      </c>
      <c r="D1315" s="1">
        <f>IFERROR(__xludf.DUMMYFUNCTION("""COMPUTED_VALUE"""),27.54)</f>
        <v>27.54</v>
      </c>
      <c r="E1315" s="1">
        <f>IFERROR(__xludf.DUMMYFUNCTION("""COMPUTED_VALUE"""),27.67)</f>
        <v>27.67</v>
      </c>
      <c r="F1315" s="1">
        <f>IFERROR(__xludf.DUMMYFUNCTION("""COMPUTED_VALUE"""),217130.0)</f>
        <v>217130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IFERROR(__xludf.DUMMYFUNCTION("""COMPUTED_VALUE"""),27.48)</f>
        <v>27.48</v>
      </c>
      <c r="C1316" s="1">
        <f>IFERROR(__xludf.DUMMYFUNCTION("""COMPUTED_VALUE"""),27.83)</f>
        <v>27.83</v>
      </c>
      <c r="D1316" s="1">
        <f>IFERROR(__xludf.DUMMYFUNCTION("""COMPUTED_VALUE"""),27.38)</f>
        <v>27.38</v>
      </c>
      <c r="E1316" s="1">
        <f>IFERROR(__xludf.DUMMYFUNCTION("""COMPUTED_VALUE"""),27.63)</f>
        <v>27.63</v>
      </c>
      <c r="F1316" s="1">
        <f>IFERROR(__xludf.DUMMYFUNCTION("""COMPUTED_VALUE"""),433235.0)</f>
        <v>433235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IFERROR(__xludf.DUMMYFUNCTION("""COMPUTED_VALUE"""),27.64)</f>
        <v>27.64</v>
      </c>
      <c r="C1317" s="1">
        <f>IFERROR(__xludf.DUMMYFUNCTION("""COMPUTED_VALUE"""),27.98)</f>
        <v>27.98</v>
      </c>
      <c r="D1317" s="1">
        <f>IFERROR(__xludf.DUMMYFUNCTION("""COMPUTED_VALUE"""),27.33)</f>
        <v>27.33</v>
      </c>
      <c r="E1317" s="1">
        <f>IFERROR(__xludf.DUMMYFUNCTION("""COMPUTED_VALUE"""),27.9)</f>
        <v>27.9</v>
      </c>
      <c r="F1317" s="1">
        <f>IFERROR(__xludf.DUMMYFUNCTION("""COMPUTED_VALUE"""),787676.0)</f>
        <v>787676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IFERROR(__xludf.DUMMYFUNCTION("""COMPUTED_VALUE"""),27.56)</f>
        <v>27.56</v>
      </c>
      <c r="C1318" s="1">
        <f>IFERROR(__xludf.DUMMYFUNCTION("""COMPUTED_VALUE"""),27.84)</f>
        <v>27.84</v>
      </c>
      <c r="D1318" s="1">
        <f>IFERROR(__xludf.DUMMYFUNCTION("""COMPUTED_VALUE"""),27.51)</f>
        <v>27.51</v>
      </c>
      <c r="E1318" s="1">
        <f>IFERROR(__xludf.DUMMYFUNCTION("""COMPUTED_VALUE"""),27.75)</f>
        <v>27.75</v>
      </c>
      <c r="F1318" s="1">
        <f>IFERROR(__xludf.DUMMYFUNCTION("""COMPUTED_VALUE"""),343062.0)</f>
        <v>343062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IFERROR(__xludf.DUMMYFUNCTION("""COMPUTED_VALUE"""),27.9)</f>
        <v>27.9</v>
      </c>
      <c r="C1319" s="1">
        <f>IFERROR(__xludf.DUMMYFUNCTION("""COMPUTED_VALUE"""),28.48)</f>
        <v>28.48</v>
      </c>
      <c r="D1319" s="1">
        <f>IFERROR(__xludf.DUMMYFUNCTION("""COMPUTED_VALUE"""),27.9)</f>
        <v>27.9</v>
      </c>
      <c r="E1319" s="1">
        <f>IFERROR(__xludf.DUMMYFUNCTION("""COMPUTED_VALUE"""),28.31)</f>
        <v>28.31</v>
      </c>
      <c r="F1319" s="1">
        <f>IFERROR(__xludf.DUMMYFUNCTION("""COMPUTED_VALUE"""),333873.0)</f>
        <v>333873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IFERROR(__xludf.DUMMYFUNCTION("""COMPUTED_VALUE"""),28.15)</f>
        <v>28.15</v>
      </c>
      <c r="C1320" s="1">
        <f>IFERROR(__xludf.DUMMYFUNCTION("""COMPUTED_VALUE"""),28.5)</f>
        <v>28.5</v>
      </c>
      <c r="D1320" s="1">
        <f>IFERROR(__xludf.DUMMYFUNCTION("""COMPUTED_VALUE"""),28.11)</f>
        <v>28.11</v>
      </c>
      <c r="E1320" s="1">
        <f>IFERROR(__xludf.DUMMYFUNCTION("""COMPUTED_VALUE"""),28.45)</f>
        <v>28.45</v>
      </c>
      <c r="F1320" s="1">
        <f>IFERROR(__xludf.DUMMYFUNCTION("""COMPUTED_VALUE"""),384072.0)</f>
        <v>384072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IFERROR(__xludf.DUMMYFUNCTION("""COMPUTED_VALUE"""),28.5)</f>
        <v>28.5</v>
      </c>
      <c r="C1321" s="1">
        <f>IFERROR(__xludf.DUMMYFUNCTION("""COMPUTED_VALUE"""),28.5)</f>
        <v>28.5</v>
      </c>
      <c r="D1321" s="1">
        <f>IFERROR(__xludf.DUMMYFUNCTION("""COMPUTED_VALUE"""),27.98)</f>
        <v>27.98</v>
      </c>
      <c r="E1321" s="1">
        <f>IFERROR(__xludf.DUMMYFUNCTION("""COMPUTED_VALUE"""),28.32)</f>
        <v>28.32</v>
      </c>
      <c r="F1321" s="1">
        <f>IFERROR(__xludf.DUMMYFUNCTION("""COMPUTED_VALUE"""),371787.0)</f>
        <v>371787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IFERROR(__xludf.DUMMYFUNCTION("""COMPUTED_VALUE"""),28.41)</f>
        <v>28.41</v>
      </c>
      <c r="C1322" s="1">
        <f>IFERROR(__xludf.DUMMYFUNCTION("""COMPUTED_VALUE"""),28.76)</f>
        <v>28.76</v>
      </c>
      <c r="D1322" s="1">
        <f>IFERROR(__xludf.DUMMYFUNCTION("""COMPUTED_VALUE"""),28.32)</f>
        <v>28.32</v>
      </c>
      <c r="E1322" s="1">
        <f>IFERROR(__xludf.DUMMYFUNCTION("""COMPUTED_VALUE"""),28.57)</f>
        <v>28.57</v>
      </c>
      <c r="F1322" s="1">
        <f>IFERROR(__xludf.DUMMYFUNCTION("""COMPUTED_VALUE"""),350043.0)</f>
        <v>350043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IFERROR(__xludf.DUMMYFUNCTION("""COMPUTED_VALUE"""),28.63)</f>
        <v>28.63</v>
      </c>
      <c r="C1323" s="1">
        <f>IFERROR(__xludf.DUMMYFUNCTION("""COMPUTED_VALUE"""),28.65)</f>
        <v>28.65</v>
      </c>
      <c r="D1323" s="1">
        <f>IFERROR(__xludf.DUMMYFUNCTION("""COMPUTED_VALUE"""),27.93)</f>
        <v>27.93</v>
      </c>
      <c r="E1323" s="1">
        <f>IFERROR(__xludf.DUMMYFUNCTION("""COMPUTED_VALUE"""),28.48)</f>
        <v>28.48</v>
      </c>
      <c r="F1323" s="1">
        <f>IFERROR(__xludf.DUMMYFUNCTION("""COMPUTED_VALUE"""),518045.0)</f>
        <v>518045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IFERROR(__xludf.DUMMYFUNCTION("""COMPUTED_VALUE"""),28.72)</f>
        <v>28.72</v>
      </c>
      <c r="C1324" s="1">
        <f>IFERROR(__xludf.DUMMYFUNCTION("""COMPUTED_VALUE"""),28.83)</f>
        <v>28.83</v>
      </c>
      <c r="D1324" s="1">
        <f>IFERROR(__xludf.DUMMYFUNCTION("""COMPUTED_VALUE"""),28.4)</f>
        <v>28.4</v>
      </c>
      <c r="E1324" s="1">
        <f>IFERROR(__xludf.DUMMYFUNCTION("""COMPUTED_VALUE"""),28.5)</f>
        <v>28.5</v>
      </c>
      <c r="F1324" s="1">
        <f>IFERROR(__xludf.DUMMYFUNCTION("""COMPUTED_VALUE"""),399178.0)</f>
        <v>399178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IFERROR(__xludf.DUMMYFUNCTION("""COMPUTED_VALUE"""),28.5)</f>
        <v>28.5</v>
      </c>
      <c r="C1325" s="1">
        <f>IFERROR(__xludf.DUMMYFUNCTION("""COMPUTED_VALUE"""),28.74)</f>
        <v>28.74</v>
      </c>
      <c r="D1325" s="1">
        <f>IFERROR(__xludf.DUMMYFUNCTION("""COMPUTED_VALUE"""),28.35)</f>
        <v>28.35</v>
      </c>
      <c r="E1325" s="1">
        <f>IFERROR(__xludf.DUMMYFUNCTION("""COMPUTED_VALUE"""),28.7)</f>
        <v>28.7</v>
      </c>
      <c r="F1325" s="1">
        <f>IFERROR(__xludf.DUMMYFUNCTION("""COMPUTED_VALUE"""),519614.0)</f>
        <v>519614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IFERROR(__xludf.DUMMYFUNCTION("""COMPUTED_VALUE"""),28.47)</f>
        <v>28.47</v>
      </c>
      <c r="C1326" s="1">
        <f>IFERROR(__xludf.DUMMYFUNCTION("""COMPUTED_VALUE"""),28.8)</f>
        <v>28.8</v>
      </c>
      <c r="D1326" s="1">
        <f>IFERROR(__xludf.DUMMYFUNCTION("""COMPUTED_VALUE"""),28.21)</f>
        <v>28.21</v>
      </c>
      <c r="E1326" s="1">
        <f>IFERROR(__xludf.DUMMYFUNCTION("""COMPUTED_VALUE"""),28.59)</f>
        <v>28.59</v>
      </c>
      <c r="F1326" s="1">
        <f>IFERROR(__xludf.DUMMYFUNCTION("""COMPUTED_VALUE"""),257667.0)</f>
        <v>257667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IFERROR(__xludf.DUMMYFUNCTION("""COMPUTED_VALUE"""),28.32)</f>
        <v>28.32</v>
      </c>
      <c r="C1327" s="1">
        <f>IFERROR(__xludf.DUMMYFUNCTION("""COMPUTED_VALUE"""),28.67)</f>
        <v>28.67</v>
      </c>
      <c r="D1327" s="1">
        <f>IFERROR(__xludf.DUMMYFUNCTION("""COMPUTED_VALUE"""),28.32)</f>
        <v>28.32</v>
      </c>
      <c r="E1327" s="1">
        <f>IFERROR(__xludf.DUMMYFUNCTION("""COMPUTED_VALUE"""),28.5)</f>
        <v>28.5</v>
      </c>
      <c r="F1327" s="1">
        <f>IFERROR(__xludf.DUMMYFUNCTION("""COMPUTED_VALUE"""),252224.0)</f>
        <v>252224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IFERROR(__xludf.DUMMYFUNCTION("""COMPUTED_VALUE"""),28.55)</f>
        <v>28.55</v>
      </c>
      <c r="C1328" s="1">
        <f>IFERROR(__xludf.DUMMYFUNCTION("""COMPUTED_VALUE"""),28.94)</f>
        <v>28.94</v>
      </c>
      <c r="D1328" s="1">
        <f>IFERROR(__xludf.DUMMYFUNCTION("""COMPUTED_VALUE"""),28.43)</f>
        <v>28.43</v>
      </c>
      <c r="E1328" s="1">
        <f>IFERROR(__xludf.DUMMYFUNCTION("""COMPUTED_VALUE"""),28.88)</f>
        <v>28.88</v>
      </c>
      <c r="F1328" s="1">
        <f>IFERROR(__xludf.DUMMYFUNCTION("""COMPUTED_VALUE"""),401711.0)</f>
        <v>401711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IFERROR(__xludf.DUMMYFUNCTION("""COMPUTED_VALUE"""),28.72)</f>
        <v>28.72</v>
      </c>
      <c r="C1329" s="1">
        <f>IFERROR(__xludf.DUMMYFUNCTION("""COMPUTED_VALUE"""),28.82)</f>
        <v>28.82</v>
      </c>
      <c r="D1329" s="1">
        <f>IFERROR(__xludf.DUMMYFUNCTION("""COMPUTED_VALUE"""),28.34)</f>
        <v>28.34</v>
      </c>
      <c r="E1329" s="1">
        <f>IFERROR(__xludf.DUMMYFUNCTION("""COMPUTED_VALUE"""),28.55)</f>
        <v>28.55</v>
      </c>
      <c r="F1329" s="1">
        <f>IFERROR(__xludf.DUMMYFUNCTION("""COMPUTED_VALUE"""),197571.0)</f>
        <v>197571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IFERROR(__xludf.DUMMYFUNCTION("""COMPUTED_VALUE"""),28.52)</f>
        <v>28.52</v>
      </c>
      <c r="C1330" s="1">
        <f>IFERROR(__xludf.DUMMYFUNCTION("""COMPUTED_VALUE"""),29.05)</f>
        <v>29.05</v>
      </c>
      <c r="D1330" s="1">
        <f>IFERROR(__xludf.DUMMYFUNCTION("""COMPUTED_VALUE"""),28.44)</f>
        <v>28.44</v>
      </c>
      <c r="E1330" s="1">
        <f>IFERROR(__xludf.DUMMYFUNCTION("""COMPUTED_VALUE"""),28.85)</f>
        <v>28.85</v>
      </c>
      <c r="F1330" s="1">
        <f>IFERROR(__xludf.DUMMYFUNCTION("""COMPUTED_VALUE"""),264721.0)</f>
        <v>264721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IFERROR(__xludf.DUMMYFUNCTION("""COMPUTED_VALUE"""),28.79)</f>
        <v>28.79</v>
      </c>
      <c r="C1331" s="1">
        <f>IFERROR(__xludf.DUMMYFUNCTION("""COMPUTED_VALUE"""),28.92)</f>
        <v>28.92</v>
      </c>
      <c r="D1331" s="1">
        <f>IFERROR(__xludf.DUMMYFUNCTION("""COMPUTED_VALUE"""),28.45)</f>
        <v>28.45</v>
      </c>
      <c r="E1331" s="1">
        <f>IFERROR(__xludf.DUMMYFUNCTION("""COMPUTED_VALUE"""),28.83)</f>
        <v>28.83</v>
      </c>
      <c r="F1331" s="1">
        <f>IFERROR(__xludf.DUMMYFUNCTION("""COMPUTED_VALUE"""),212380.0)</f>
        <v>212380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IFERROR(__xludf.DUMMYFUNCTION("""COMPUTED_VALUE"""),28.29)</f>
        <v>28.29</v>
      </c>
      <c r="C1332" s="1">
        <f>IFERROR(__xludf.DUMMYFUNCTION("""COMPUTED_VALUE"""),28.61)</f>
        <v>28.61</v>
      </c>
      <c r="D1332" s="1">
        <f>IFERROR(__xludf.DUMMYFUNCTION("""COMPUTED_VALUE"""),28.23)</f>
        <v>28.23</v>
      </c>
      <c r="E1332" s="1">
        <f>IFERROR(__xludf.DUMMYFUNCTION("""COMPUTED_VALUE"""),28.35)</f>
        <v>28.35</v>
      </c>
      <c r="F1332" s="1">
        <f>IFERROR(__xludf.DUMMYFUNCTION("""COMPUTED_VALUE"""),319885.0)</f>
        <v>319885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IFERROR(__xludf.DUMMYFUNCTION("""COMPUTED_VALUE"""),28.27)</f>
        <v>28.27</v>
      </c>
      <c r="C1333" s="1">
        <f>IFERROR(__xludf.DUMMYFUNCTION("""COMPUTED_VALUE"""),28.86)</f>
        <v>28.86</v>
      </c>
      <c r="D1333" s="1">
        <f>IFERROR(__xludf.DUMMYFUNCTION("""COMPUTED_VALUE"""),28.13)</f>
        <v>28.13</v>
      </c>
      <c r="E1333" s="1">
        <f>IFERROR(__xludf.DUMMYFUNCTION("""COMPUTED_VALUE"""),28.68)</f>
        <v>28.68</v>
      </c>
      <c r="F1333" s="1">
        <f>IFERROR(__xludf.DUMMYFUNCTION("""COMPUTED_VALUE"""),237216.0)</f>
        <v>237216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IFERROR(__xludf.DUMMYFUNCTION("""COMPUTED_VALUE"""),28.83)</f>
        <v>28.83</v>
      </c>
      <c r="C1334" s="1">
        <f>IFERROR(__xludf.DUMMYFUNCTION("""COMPUTED_VALUE"""),28.95)</f>
        <v>28.95</v>
      </c>
      <c r="D1334" s="1">
        <f>IFERROR(__xludf.DUMMYFUNCTION("""COMPUTED_VALUE"""),28.45)</f>
        <v>28.45</v>
      </c>
      <c r="E1334" s="1">
        <f>IFERROR(__xludf.DUMMYFUNCTION("""COMPUTED_VALUE"""),28.53)</f>
        <v>28.53</v>
      </c>
      <c r="F1334" s="1">
        <f>IFERROR(__xludf.DUMMYFUNCTION("""COMPUTED_VALUE"""),355597.0)</f>
        <v>355597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IFERROR(__xludf.DUMMYFUNCTION("""COMPUTED_VALUE"""),28.09)</f>
        <v>28.09</v>
      </c>
      <c r="C1335" s="1">
        <f>IFERROR(__xludf.DUMMYFUNCTION("""COMPUTED_VALUE"""),28.77)</f>
        <v>28.77</v>
      </c>
      <c r="D1335" s="1">
        <f>IFERROR(__xludf.DUMMYFUNCTION("""COMPUTED_VALUE"""),28.09)</f>
        <v>28.09</v>
      </c>
      <c r="E1335" s="1">
        <f>IFERROR(__xludf.DUMMYFUNCTION("""COMPUTED_VALUE"""),28.62)</f>
        <v>28.62</v>
      </c>
      <c r="F1335" s="1">
        <f>IFERROR(__xludf.DUMMYFUNCTION("""COMPUTED_VALUE"""),369062.0)</f>
        <v>369062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IFERROR(__xludf.DUMMYFUNCTION("""COMPUTED_VALUE"""),28.9)</f>
        <v>28.9</v>
      </c>
      <c r="C1336" s="1">
        <f>IFERROR(__xludf.DUMMYFUNCTION("""COMPUTED_VALUE"""),29.26)</f>
        <v>29.26</v>
      </c>
      <c r="D1336" s="1">
        <f>IFERROR(__xludf.DUMMYFUNCTION("""COMPUTED_VALUE"""),28.53)</f>
        <v>28.53</v>
      </c>
      <c r="E1336" s="1">
        <f>IFERROR(__xludf.DUMMYFUNCTION("""COMPUTED_VALUE"""),28.97)</f>
        <v>28.97</v>
      </c>
      <c r="F1336" s="1">
        <f>IFERROR(__xludf.DUMMYFUNCTION("""COMPUTED_VALUE"""),584370.0)</f>
        <v>584370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IFERROR(__xludf.DUMMYFUNCTION("""COMPUTED_VALUE"""),29.18)</f>
        <v>29.18</v>
      </c>
      <c r="C1337" s="1">
        <f>IFERROR(__xludf.DUMMYFUNCTION("""COMPUTED_VALUE"""),29.18)</f>
        <v>29.18</v>
      </c>
      <c r="D1337" s="1">
        <f>IFERROR(__xludf.DUMMYFUNCTION("""COMPUTED_VALUE"""),28.41)</f>
        <v>28.41</v>
      </c>
      <c r="E1337" s="1">
        <f>IFERROR(__xludf.DUMMYFUNCTION("""COMPUTED_VALUE"""),28.73)</f>
        <v>28.73</v>
      </c>
      <c r="F1337" s="1">
        <f>IFERROR(__xludf.DUMMYFUNCTION("""COMPUTED_VALUE"""),502350.0)</f>
        <v>502350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IFERROR(__xludf.DUMMYFUNCTION("""COMPUTED_VALUE"""),29.12)</f>
        <v>29.12</v>
      </c>
      <c r="C1338" s="1">
        <f>IFERROR(__xludf.DUMMYFUNCTION("""COMPUTED_VALUE"""),29.12)</f>
        <v>29.12</v>
      </c>
      <c r="D1338" s="1">
        <f>IFERROR(__xludf.DUMMYFUNCTION("""COMPUTED_VALUE"""),28.11)</f>
        <v>28.11</v>
      </c>
      <c r="E1338" s="1">
        <f>IFERROR(__xludf.DUMMYFUNCTION("""COMPUTED_VALUE"""),28.4)</f>
        <v>28.4</v>
      </c>
      <c r="F1338" s="1">
        <f>IFERROR(__xludf.DUMMYFUNCTION("""COMPUTED_VALUE"""),482424.0)</f>
        <v>482424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IFERROR(__xludf.DUMMYFUNCTION("""COMPUTED_VALUE"""),28.7)</f>
        <v>28.7</v>
      </c>
      <c r="C1339" s="1">
        <f>IFERROR(__xludf.DUMMYFUNCTION("""COMPUTED_VALUE"""),28.96)</f>
        <v>28.96</v>
      </c>
      <c r="D1339" s="1">
        <f>IFERROR(__xludf.DUMMYFUNCTION("""COMPUTED_VALUE"""),28.32)</f>
        <v>28.32</v>
      </c>
      <c r="E1339" s="1">
        <f>IFERROR(__xludf.DUMMYFUNCTION("""COMPUTED_VALUE"""),28.95)</f>
        <v>28.95</v>
      </c>
      <c r="F1339" s="1">
        <f>IFERROR(__xludf.DUMMYFUNCTION("""COMPUTED_VALUE"""),391068.0)</f>
        <v>391068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IFERROR(__xludf.DUMMYFUNCTION("""COMPUTED_VALUE"""),28.86)</f>
        <v>28.86</v>
      </c>
      <c r="C1340" s="1">
        <f>IFERROR(__xludf.DUMMYFUNCTION("""COMPUTED_VALUE"""),29.27)</f>
        <v>29.27</v>
      </c>
      <c r="D1340" s="1">
        <f>IFERROR(__xludf.DUMMYFUNCTION("""COMPUTED_VALUE"""),28.85)</f>
        <v>28.85</v>
      </c>
      <c r="E1340" s="1">
        <f>IFERROR(__xludf.DUMMYFUNCTION("""COMPUTED_VALUE"""),29.01)</f>
        <v>29.01</v>
      </c>
      <c r="F1340" s="1">
        <f>IFERROR(__xludf.DUMMYFUNCTION("""COMPUTED_VALUE"""),381409.0)</f>
        <v>381409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IFERROR(__xludf.DUMMYFUNCTION("""COMPUTED_VALUE"""),29.25)</f>
        <v>29.25</v>
      </c>
      <c r="C1341" s="1">
        <f>IFERROR(__xludf.DUMMYFUNCTION("""COMPUTED_VALUE"""),29.25)</f>
        <v>29.25</v>
      </c>
      <c r="D1341" s="1">
        <f>IFERROR(__xludf.DUMMYFUNCTION("""COMPUTED_VALUE"""),28.52)</f>
        <v>28.52</v>
      </c>
      <c r="E1341" s="1">
        <f>IFERROR(__xludf.DUMMYFUNCTION("""COMPUTED_VALUE"""),28.58)</f>
        <v>28.58</v>
      </c>
      <c r="F1341" s="1">
        <f>IFERROR(__xludf.DUMMYFUNCTION("""COMPUTED_VALUE"""),549062.0)</f>
        <v>549062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IFERROR(__xludf.DUMMYFUNCTION("""COMPUTED_VALUE"""),28.61)</f>
        <v>28.61</v>
      </c>
      <c r="C1342" s="1">
        <f>IFERROR(__xludf.DUMMYFUNCTION("""COMPUTED_VALUE"""),28.86)</f>
        <v>28.86</v>
      </c>
      <c r="D1342" s="1">
        <f>IFERROR(__xludf.DUMMYFUNCTION("""COMPUTED_VALUE"""),28.19)</f>
        <v>28.19</v>
      </c>
      <c r="E1342" s="1">
        <f>IFERROR(__xludf.DUMMYFUNCTION("""COMPUTED_VALUE"""),28.39)</f>
        <v>28.39</v>
      </c>
      <c r="F1342" s="1">
        <f>IFERROR(__xludf.DUMMYFUNCTION("""COMPUTED_VALUE"""),353202.0)</f>
        <v>353202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IFERROR(__xludf.DUMMYFUNCTION("""COMPUTED_VALUE"""),28.46)</f>
        <v>28.46</v>
      </c>
      <c r="C1343" s="1">
        <f>IFERROR(__xludf.DUMMYFUNCTION("""COMPUTED_VALUE"""),28.8)</f>
        <v>28.8</v>
      </c>
      <c r="D1343" s="1">
        <f>IFERROR(__xludf.DUMMYFUNCTION("""COMPUTED_VALUE"""),28.34)</f>
        <v>28.34</v>
      </c>
      <c r="E1343" s="1">
        <f>IFERROR(__xludf.DUMMYFUNCTION("""COMPUTED_VALUE"""),28.67)</f>
        <v>28.67</v>
      </c>
      <c r="F1343" s="1">
        <f>IFERROR(__xludf.DUMMYFUNCTION("""COMPUTED_VALUE"""),279029.0)</f>
        <v>279029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IFERROR(__xludf.DUMMYFUNCTION("""COMPUTED_VALUE"""),28.43)</f>
        <v>28.43</v>
      </c>
      <c r="C1344" s="1">
        <f>IFERROR(__xludf.DUMMYFUNCTION("""COMPUTED_VALUE"""),28.88)</f>
        <v>28.88</v>
      </c>
      <c r="D1344" s="1">
        <f>IFERROR(__xludf.DUMMYFUNCTION("""COMPUTED_VALUE"""),28.35)</f>
        <v>28.35</v>
      </c>
      <c r="E1344" s="1">
        <f>IFERROR(__xludf.DUMMYFUNCTION("""COMPUTED_VALUE"""),28.46)</f>
        <v>28.46</v>
      </c>
      <c r="F1344" s="1">
        <f>IFERROR(__xludf.DUMMYFUNCTION("""COMPUTED_VALUE"""),326129.0)</f>
        <v>326129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IFERROR(__xludf.DUMMYFUNCTION("""COMPUTED_VALUE"""),28.76)</f>
        <v>28.76</v>
      </c>
      <c r="C1345" s="1">
        <f>IFERROR(__xludf.DUMMYFUNCTION("""COMPUTED_VALUE"""),28.77)</f>
        <v>28.77</v>
      </c>
      <c r="D1345" s="1">
        <f>IFERROR(__xludf.DUMMYFUNCTION("""COMPUTED_VALUE"""),28.26)</f>
        <v>28.26</v>
      </c>
      <c r="E1345" s="1">
        <f>IFERROR(__xludf.DUMMYFUNCTION("""COMPUTED_VALUE"""),28.74)</f>
        <v>28.74</v>
      </c>
      <c r="F1345" s="1">
        <f>IFERROR(__xludf.DUMMYFUNCTION("""COMPUTED_VALUE"""),302216.0)</f>
        <v>302216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IFERROR(__xludf.DUMMYFUNCTION("""COMPUTED_VALUE"""),28.95)</f>
        <v>28.95</v>
      </c>
      <c r="C1346" s="1">
        <f>IFERROR(__xludf.DUMMYFUNCTION("""COMPUTED_VALUE"""),29.0)</f>
        <v>29</v>
      </c>
      <c r="D1346" s="1">
        <f>IFERROR(__xludf.DUMMYFUNCTION("""COMPUTED_VALUE"""),28.49)</f>
        <v>28.49</v>
      </c>
      <c r="E1346" s="1">
        <f>IFERROR(__xludf.DUMMYFUNCTION("""COMPUTED_VALUE"""),28.72)</f>
        <v>28.72</v>
      </c>
      <c r="F1346" s="1">
        <f>IFERROR(__xludf.DUMMYFUNCTION("""COMPUTED_VALUE"""),228714.0)</f>
        <v>228714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IFERROR(__xludf.DUMMYFUNCTION("""COMPUTED_VALUE"""),28.55)</f>
        <v>28.55</v>
      </c>
      <c r="C1347" s="1">
        <f>IFERROR(__xludf.DUMMYFUNCTION("""COMPUTED_VALUE"""),29.04)</f>
        <v>29.04</v>
      </c>
      <c r="D1347" s="1">
        <f>IFERROR(__xludf.DUMMYFUNCTION("""COMPUTED_VALUE"""),28.5)</f>
        <v>28.5</v>
      </c>
      <c r="E1347" s="1">
        <f>IFERROR(__xludf.DUMMYFUNCTION("""COMPUTED_VALUE"""),28.86)</f>
        <v>28.86</v>
      </c>
      <c r="F1347" s="1">
        <f>IFERROR(__xludf.DUMMYFUNCTION("""COMPUTED_VALUE"""),315350.0)</f>
        <v>315350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IFERROR(__xludf.DUMMYFUNCTION("""COMPUTED_VALUE"""),28.86)</f>
        <v>28.86</v>
      </c>
      <c r="C1348" s="1">
        <f>IFERROR(__xludf.DUMMYFUNCTION("""COMPUTED_VALUE"""),29.37)</f>
        <v>29.37</v>
      </c>
      <c r="D1348" s="1">
        <f>IFERROR(__xludf.DUMMYFUNCTION("""COMPUTED_VALUE"""),28.8)</f>
        <v>28.8</v>
      </c>
      <c r="E1348" s="1">
        <f>IFERROR(__xludf.DUMMYFUNCTION("""COMPUTED_VALUE"""),29.29)</f>
        <v>29.29</v>
      </c>
      <c r="F1348" s="1">
        <f>IFERROR(__xludf.DUMMYFUNCTION("""COMPUTED_VALUE"""),346229.0)</f>
        <v>346229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IFERROR(__xludf.DUMMYFUNCTION("""COMPUTED_VALUE"""),29.18)</f>
        <v>29.18</v>
      </c>
      <c r="C1349" s="1">
        <f>IFERROR(__xludf.DUMMYFUNCTION("""COMPUTED_VALUE"""),29.69)</f>
        <v>29.69</v>
      </c>
      <c r="D1349" s="1">
        <f>IFERROR(__xludf.DUMMYFUNCTION("""COMPUTED_VALUE"""),28.95)</f>
        <v>28.95</v>
      </c>
      <c r="E1349" s="1">
        <f>IFERROR(__xludf.DUMMYFUNCTION("""COMPUTED_VALUE"""),29.52)</f>
        <v>29.52</v>
      </c>
      <c r="F1349" s="1">
        <f>IFERROR(__xludf.DUMMYFUNCTION("""COMPUTED_VALUE"""),406777.0)</f>
        <v>406777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IFERROR(__xludf.DUMMYFUNCTION("""COMPUTED_VALUE"""),29.51)</f>
        <v>29.51</v>
      </c>
      <c r="C1350" s="1">
        <f>IFERROR(__xludf.DUMMYFUNCTION("""COMPUTED_VALUE"""),29.84)</f>
        <v>29.84</v>
      </c>
      <c r="D1350" s="1">
        <f>IFERROR(__xludf.DUMMYFUNCTION("""COMPUTED_VALUE"""),29.4)</f>
        <v>29.4</v>
      </c>
      <c r="E1350" s="1">
        <f>IFERROR(__xludf.DUMMYFUNCTION("""COMPUTED_VALUE"""),29.72)</f>
        <v>29.72</v>
      </c>
      <c r="F1350" s="1">
        <f>IFERROR(__xludf.DUMMYFUNCTION("""COMPUTED_VALUE"""),335822.0)</f>
        <v>335822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IFERROR(__xludf.DUMMYFUNCTION("""COMPUTED_VALUE"""),29.85)</f>
        <v>29.85</v>
      </c>
      <c r="C1351" s="1">
        <f>IFERROR(__xludf.DUMMYFUNCTION("""COMPUTED_VALUE"""),29.98)</f>
        <v>29.98</v>
      </c>
      <c r="D1351" s="1">
        <f>IFERROR(__xludf.DUMMYFUNCTION("""COMPUTED_VALUE"""),29.66)</f>
        <v>29.66</v>
      </c>
      <c r="E1351" s="1">
        <f>IFERROR(__xludf.DUMMYFUNCTION("""COMPUTED_VALUE"""),29.98)</f>
        <v>29.98</v>
      </c>
      <c r="F1351" s="1">
        <f>IFERROR(__xludf.DUMMYFUNCTION("""COMPUTED_VALUE"""),277648.0)</f>
        <v>277648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IFERROR(__xludf.DUMMYFUNCTION("""COMPUTED_VALUE"""),29.84)</f>
        <v>29.84</v>
      </c>
      <c r="C1352" s="1">
        <f>IFERROR(__xludf.DUMMYFUNCTION("""COMPUTED_VALUE"""),29.86)</f>
        <v>29.86</v>
      </c>
      <c r="D1352" s="1">
        <f>IFERROR(__xludf.DUMMYFUNCTION("""COMPUTED_VALUE"""),29.19)</f>
        <v>29.19</v>
      </c>
      <c r="E1352" s="1">
        <f>IFERROR(__xludf.DUMMYFUNCTION("""COMPUTED_VALUE"""),29.43)</f>
        <v>29.43</v>
      </c>
      <c r="F1352" s="1">
        <f>IFERROR(__xludf.DUMMYFUNCTION("""COMPUTED_VALUE"""),775986.0)</f>
        <v>775986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IFERROR(__xludf.DUMMYFUNCTION("""COMPUTED_VALUE"""),29.04)</f>
        <v>29.04</v>
      </c>
      <c r="C1353" s="1">
        <f>IFERROR(__xludf.DUMMYFUNCTION("""COMPUTED_VALUE"""),30.36)</f>
        <v>30.36</v>
      </c>
      <c r="D1353" s="1">
        <f>IFERROR(__xludf.DUMMYFUNCTION("""COMPUTED_VALUE"""),29.03)</f>
        <v>29.03</v>
      </c>
      <c r="E1353" s="1">
        <f>IFERROR(__xludf.DUMMYFUNCTION("""COMPUTED_VALUE"""),30.22)</f>
        <v>30.22</v>
      </c>
      <c r="F1353" s="1">
        <f>IFERROR(__xludf.DUMMYFUNCTION("""COMPUTED_VALUE"""),545274.0)</f>
        <v>545274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IFERROR(__xludf.DUMMYFUNCTION("""COMPUTED_VALUE"""),30.47)</f>
        <v>30.47</v>
      </c>
      <c r="C1354" s="1">
        <f>IFERROR(__xludf.DUMMYFUNCTION("""COMPUTED_VALUE"""),30.55)</f>
        <v>30.55</v>
      </c>
      <c r="D1354" s="1">
        <f>IFERROR(__xludf.DUMMYFUNCTION("""COMPUTED_VALUE"""),30.27)</f>
        <v>30.27</v>
      </c>
      <c r="E1354" s="1">
        <f>IFERROR(__xludf.DUMMYFUNCTION("""COMPUTED_VALUE"""),30.33)</f>
        <v>30.33</v>
      </c>
      <c r="F1354" s="1">
        <f>IFERROR(__xludf.DUMMYFUNCTION("""COMPUTED_VALUE"""),380728.0)</f>
        <v>380728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IFERROR(__xludf.DUMMYFUNCTION("""COMPUTED_VALUE"""),30.39)</f>
        <v>30.39</v>
      </c>
      <c r="C1355" s="1">
        <f>IFERROR(__xludf.DUMMYFUNCTION("""COMPUTED_VALUE"""),30.39)</f>
        <v>30.39</v>
      </c>
      <c r="D1355" s="1">
        <f>IFERROR(__xludf.DUMMYFUNCTION("""COMPUTED_VALUE"""),30.1)</f>
        <v>30.1</v>
      </c>
      <c r="E1355" s="1">
        <f>IFERROR(__xludf.DUMMYFUNCTION("""COMPUTED_VALUE"""),30.22)</f>
        <v>30.22</v>
      </c>
      <c r="F1355" s="1">
        <f>IFERROR(__xludf.DUMMYFUNCTION("""COMPUTED_VALUE"""),445455.0)</f>
        <v>445455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IFERROR(__xludf.DUMMYFUNCTION("""COMPUTED_VALUE"""),29.95)</f>
        <v>29.95</v>
      </c>
      <c r="C1356" s="1">
        <f>IFERROR(__xludf.DUMMYFUNCTION("""COMPUTED_VALUE"""),30.45)</f>
        <v>30.45</v>
      </c>
      <c r="D1356" s="1">
        <f>IFERROR(__xludf.DUMMYFUNCTION("""COMPUTED_VALUE"""),29.94)</f>
        <v>29.94</v>
      </c>
      <c r="E1356" s="1">
        <f>IFERROR(__xludf.DUMMYFUNCTION("""COMPUTED_VALUE"""),30.25)</f>
        <v>30.25</v>
      </c>
      <c r="F1356" s="1">
        <f>IFERROR(__xludf.DUMMYFUNCTION("""COMPUTED_VALUE"""),617557.0)</f>
        <v>617557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IFERROR(__xludf.DUMMYFUNCTION("""COMPUTED_VALUE"""),30.2)</f>
        <v>30.2</v>
      </c>
      <c r="C1357" s="1">
        <f>IFERROR(__xludf.DUMMYFUNCTION("""COMPUTED_VALUE"""),30.5)</f>
        <v>30.5</v>
      </c>
      <c r="D1357" s="1">
        <f>IFERROR(__xludf.DUMMYFUNCTION("""COMPUTED_VALUE"""),30.09)</f>
        <v>30.09</v>
      </c>
      <c r="E1357" s="1">
        <f>IFERROR(__xludf.DUMMYFUNCTION("""COMPUTED_VALUE"""),30.21)</f>
        <v>30.21</v>
      </c>
      <c r="F1357" s="1">
        <f>IFERROR(__xludf.DUMMYFUNCTION("""COMPUTED_VALUE"""),402241.0)</f>
        <v>402241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IFERROR(__xludf.DUMMYFUNCTION("""COMPUTED_VALUE"""),30.14)</f>
        <v>30.14</v>
      </c>
      <c r="C1358" s="1">
        <f>IFERROR(__xludf.DUMMYFUNCTION("""COMPUTED_VALUE"""),30.16)</f>
        <v>30.16</v>
      </c>
      <c r="D1358" s="1">
        <f>IFERROR(__xludf.DUMMYFUNCTION("""COMPUTED_VALUE"""),29.57)</f>
        <v>29.57</v>
      </c>
      <c r="E1358" s="1">
        <f>IFERROR(__xludf.DUMMYFUNCTION("""COMPUTED_VALUE"""),29.9)</f>
        <v>29.9</v>
      </c>
      <c r="F1358" s="1">
        <f>IFERROR(__xludf.DUMMYFUNCTION("""COMPUTED_VALUE"""),481029.0)</f>
        <v>481029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IFERROR(__xludf.DUMMYFUNCTION("""COMPUTED_VALUE"""),29.99)</f>
        <v>29.99</v>
      </c>
      <c r="C1359" s="1">
        <f>IFERROR(__xludf.DUMMYFUNCTION("""COMPUTED_VALUE"""),30.59)</f>
        <v>30.59</v>
      </c>
      <c r="D1359" s="1">
        <f>IFERROR(__xludf.DUMMYFUNCTION("""COMPUTED_VALUE"""),29.71)</f>
        <v>29.71</v>
      </c>
      <c r="E1359" s="1">
        <f>IFERROR(__xludf.DUMMYFUNCTION("""COMPUTED_VALUE"""),30.56)</f>
        <v>30.56</v>
      </c>
      <c r="F1359" s="1">
        <f>IFERROR(__xludf.DUMMYFUNCTION("""COMPUTED_VALUE"""),512727.0)</f>
        <v>512727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IFERROR(__xludf.DUMMYFUNCTION("""COMPUTED_VALUE"""),30.42)</f>
        <v>30.42</v>
      </c>
      <c r="C1360" s="1">
        <f>IFERROR(__xludf.DUMMYFUNCTION("""COMPUTED_VALUE"""),30.63)</f>
        <v>30.63</v>
      </c>
      <c r="D1360" s="1">
        <f>IFERROR(__xludf.DUMMYFUNCTION("""COMPUTED_VALUE"""),30.26)</f>
        <v>30.26</v>
      </c>
      <c r="E1360" s="1">
        <f>IFERROR(__xludf.DUMMYFUNCTION("""COMPUTED_VALUE"""),30.62)</f>
        <v>30.62</v>
      </c>
      <c r="F1360" s="1">
        <f>IFERROR(__xludf.DUMMYFUNCTION("""COMPUTED_VALUE"""),302684.0)</f>
        <v>302684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IFERROR(__xludf.DUMMYFUNCTION("""COMPUTED_VALUE"""),30.17)</f>
        <v>30.17</v>
      </c>
      <c r="C1361" s="1">
        <f>IFERROR(__xludf.DUMMYFUNCTION("""COMPUTED_VALUE"""),30.49)</f>
        <v>30.49</v>
      </c>
      <c r="D1361" s="1">
        <f>IFERROR(__xludf.DUMMYFUNCTION("""COMPUTED_VALUE"""),29.95)</f>
        <v>29.95</v>
      </c>
      <c r="E1361" s="1">
        <f>IFERROR(__xludf.DUMMYFUNCTION("""COMPUTED_VALUE"""),30.22)</f>
        <v>30.22</v>
      </c>
      <c r="F1361" s="1">
        <f>IFERROR(__xludf.DUMMYFUNCTION("""COMPUTED_VALUE"""),518634.0)</f>
        <v>518634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IFERROR(__xludf.DUMMYFUNCTION("""COMPUTED_VALUE"""),29.9)</f>
        <v>29.9</v>
      </c>
      <c r="C1362" s="1">
        <f>IFERROR(__xludf.DUMMYFUNCTION("""COMPUTED_VALUE"""),30.65)</f>
        <v>30.65</v>
      </c>
      <c r="D1362" s="1">
        <f>IFERROR(__xludf.DUMMYFUNCTION("""COMPUTED_VALUE"""),29.81)</f>
        <v>29.81</v>
      </c>
      <c r="E1362" s="1">
        <f>IFERROR(__xludf.DUMMYFUNCTION("""COMPUTED_VALUE"""),30.32)</f>
        <v>30.32</v>
      </c>
      <c r="F1362" s="1">
        <f>IFERROR(__xludf.DUMMYFUNCTION("""COMPUTED_VALUE"""),630872.0)</f>
        <v>630872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IFERROR(__xludf.DUMMYFUNCTION("""COMPUTED_VALUE"""),29.96)</f>
        <v>29.96</v>
      </c>
      <c r="C1363" s="1">
        <f>IFERROR(__xludf.DUMMYFUNCTION("""COMPUTED_VALUE"""),30.7)</f>
        <v>30.7</v>
      </c>
      <c r="D1363" s="1">
        <f>IFERROR(__xludf.DUMMYFUNCTION("""COMPUTED_VALUE"""),29.95)</f>
        <v>29.95</v>
      </c>
      <c r="E1363" s="1">
        <f>IFERROR(__xludf.DUMMYFUNCTION("""COMPUTED_VALUE"""),30.61)</f>
        <v>30.61</v>
      </c>
      <c r="F1363" s="1">
        <f>IFERROR(__xludf.DUMMYFUNCTION("""COMPUTED_VALUE"""),517304.0)</f>
        <v>517304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IFERROR(__xludf.DUMMYFUNCTION("""COMPUTED_VALUE"""),30.72)</f>
        <v>30.72</v>
      </c>
      <c r="C1364" s="1">
        <f>IFERROR(__xludf.DUMMYFUNCTION("""COMPUTED_VALUE"""),31.16)</f>
        <v>31.16</v>
      </c>
      <c r="D1364" s="1">
        <f>IFERROR(__xludf.DUMMYFUNCTION("""COMPUTED_VALUE"""),30.65)</f>
        <v>30.65</v>
      </c>
      <c r="E1364" s="1">
        <f>IFERROR(__xludf.DUMMYFUNCTION("""COMPUTED_VALUE"""),30.89)</f>
        <v>30.89</v>
      </c>
      <c r="F1364" s="1">
        <f>IFERROR(__xludf.DUMMYFUNCTION("""COMPUTED_VALUE"""),520210.0)</f>
        <v>520210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IFERROR(__xludf.DUMMYFUNCTION("""COMPUTED_VALUE"""),31.11)</f>
        <v>31.11</v>
      </c>
      <c r="C1365" s="1">
        <f>IFERROR(__xludf.DUMMYFUNCTION("""COMPUTED_VALUE"""),31.64)</f>
        <v>31.64</v>
      </c>
      <c r="D1365" s="1">
        <f>IFERROR(__xludf.DUMMYFUNCTION("""COMPUTED_VALUE"""),30.66)</f>
        <v>30.66</v>
      </c>
      <c r="E1365" s="1">
        <f>IFERROR(__xludf.DUMMYFUNCTION("""COMPUTED_VALUE"""),31.24)</f>
        <v>31.24</v>
      </c>
      <c r="F1365" s="1">
        <f>IFERROR(__xludf.DUMMYFUNCTION("""COMPUTED_VALUE"""),1398940.0)</f>
        <v>1398940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IFERROR(__xludf.DUMMYFUNCTION("""COMPUTED_VALUE"""),31.49)</f>
        <v>31.49</v>
      </c>
      <c r="C1366" s="1">
        <f>IFERROR(__xludf.DUMMYFUNCTION("""COMPUTED_VALUE"""),31.9)</f>
        <v>31.9</v>
      </c>
      <c r="D1366" s="1">
        <f>IFERROR(__xludf.DUMMYFUNCTION("""COMPUTED_VALUE"""),31.36)</f>
        <v>31.36</v>
      </c>
      <c r="E1366" s="1">
        <f>IFERROR(__xludf.DUMMYFUNCTION("""COMPUTED_VALUE"""),31.88)</f>
        <v>31.88</v>
      </c>
      <c r="F1366" s="1">
        <f>IFERROR(__xludf.DUMMYFUNCTION("""COMPUTED_VALUE"""),598277.0)</f>
        <v>598277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IFERROR(__xludf.DUMMYFUNCTION("""COMPUTED_VALUE"""),31.75)</f>
        <v>31.75</v>
      </c>
      <c r="C1367" s="1">
        <f>IFERROR(__xludf.DUMMYFUNCTION("""COMPUTED_VALUE"""),32.15)</f>
        <v>32.15</v>
      </c>
      <c r="D1367" s="1">
        <f>IFERROR(__xludf.DUMMYFUNCTION("""COMPUTED_VALUE"""),31.75)</f>
        <v>31.75</v>
      </c>
      <c r="E1367" s="1">
        <f>IFERROR(__xludf.DUMMYFUNCTION("""COMPUTED_VALUE"""),32.15)</f>
        <v>32.15</v>
      </c>
      <c r="F1367" s="1">
        <f>IFERROR(__xludf.DUMMYFUNCTION("""COMPUTED_VALUE"""),582006.0)</f>
        <v>582006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IFERROR(__xludf.DUMMYFUNCTION("""COMPUTED_VALUE"""),32.14)</f>
        <v>32.14</v>
      </c>
      <c r="C1368" s="1">
        <f>IFERROR(__xludf.DUMMYFUNCTION("""COMPUTED_VALUE"""),32.87)</f>
        <v>32.87</v>
      </c>
      <c r="D1368" s="1">
        <f>IFERROR(__xludf.DUMMYFUNCTION("""COMPUTED_VALUE"""),32.04)</f>
        <v>32.04</v>
      </c>
      <c r="E1368" s="1">
        <f>IFERROR(__xludf.DUMMYFUNCTION("""COMPUTED_VALUE"""),32.55)</f>
        <v>32.55</v>
      </c>
      <c r="F1368" s="1">
        <f>IFERROR(__xludf.DUMMYFUNCTION("""COMPUTED_VALUE"""),877335.0)</f>
        <v>877335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IFERROR(__xludf.DUMMYFUNCTION("""COMPUTED_VALUE"""),32.55)</f>
        <v>32.55</v>
      </c>
      <c r="C1369" s="1">
        <f>IFERROR(__xludf.DUMMYFUNCTION("""COMPUTED_VALUE"""),33.26)</f>
        <v>33.26</v>
      </c>
      <c r="D1369" s="1">
        <f>IFERROR(__xludf.DUMMYFUNCTION("""COMPUTED_VALUE"""),32.52)</f>
        <v>32.52</v>
      </c>
      <c r="E1369" s="1">
        <f>IFERROR(__xludf.DUMMYFUNCTION("""COMPUTED_VALUE"""),32.89)</f>
        <v>32.89</v>
      </c>
      <c r="F1369" s="1">
        <f>IFERROR(__xludf.DUMMYFUNCTION("""COMPUTED_VALUE"""),813733.0)</f>
        <v>813733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IFERROR(__xludf.DUMMYFUNCTION("""COMPUTED_VALUE"""),32.77)</f>
        <v>32.77</v>
      </c>
      <c r="C1370" s="1">
        <f>IFERROR(__xludf.DUMMYFUNCTION("""COMPUTED_VALUE"""),32.93)</f>
        <v>32.93</v>
      </c>
      <c r="D1370" s="1">
        <f>IFERROR(__xludf.DUMMYFUNCTION("""COMPUTED_VALUE"""),32.55)</f>
        <v>32.55</v>
      </c>
      <c r="E1370" s="1">
        <f>IFERROR(__xludf.DUMMYFUNCTION("""COMPUTED_VALUE"""),32.7)</f>
        <v>32.7</v>
      </c>
      <c r="F1370" s="1">
        <f>IFERROR(__xludf.DUMMYFUNCTION("""COMPUTED_VALUE"""),473356.0)</f>
        <v>473356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IFERROR(__xludf.DUMMYFUNCTION("""COMPUTED_VALUE"""),32.43)</f>
        <v>32.43</v>
      </c>
      <c r="C1371" s="1">
        <f>IFERROR(__xludf.DUMMYFUNCTION("""COMPUTED_VALUE"""),32.74)</f>
        <v>32.74</v>
      </c>
      <c r="D1371" s="1">
        <f>IFERROR(__xludf.DUMMYFUNCTION("""COMPUTED_VALUE"""),32.43)</f>
        <v>32.43</v>
      </c>
      <c r="E1371" s="1">
        <f>IFERROR(__xludf.DUMMYFUNCTION("""COMPUTED_VALUE"""),32.59)</f>
        <v>32.59</v>
      </c>
      <c r="F1371" s="1">
        <f>IFERROR(__xludf.DUMMYFUNCTION("""COMPUTED_VALUE"""),465568.0)</f>
        <v>465568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IFERROR(__xludf.DUMMYFUNCTION("""COMPUTED_VALUE"""),32.5)</f>
        <v>32.5</v>
      </c>
      <c r="C1372" s="1">
        <f>IFERROR(__xludf.DUMMYFUNCTION("""COMPUTED_VALUE"""),32.83)</f>
        <v>32.83</v>
      </c>
      <c r="D1372" s="1">
        <f>IFERROR(__xludf.DUMMYFUNCTION("""COMPUTED_VALUE"""),32.04)</f>
        <v>32.04</v>
      </c>
      <c r="E1372" s="1">
        <f>IFERROR(__xludf.DUMMYFUNCTION("""COMPUTED_VALUE"""),32.43)</f>
        <v>32.43</v>
      </c>
      <c r="F1372" s="1">
        <f>IFERROR(__xludf.DUMMYFUNCTION("""COMPUTED_VALUE"""),725421.0)</f>
        <v>725421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IFERROR(__xludf.DUMMYFUNCTION("""COMPUTED_VALUE"""),32.4)</f>
        <v>32.4</v>
      </c>
      <c r="C1373" s="1">
        <f>IFERROR(__xludf.DUMMYFUNCTION("""COMPUTED_VALUE"""),33.06)</f>
        <v>33.06</v>
      </c>
      <c r="D1373" s="1">
        <f>IFERROR(__xludf.DUMMYFUNCTION("""COMPUTED_VALUE"""),32.26)</f>
        <v>32.26</v>
      </c>
      <c r="E1373" s="1">
        <f>IFERROR(__xludf.DUMMYFUNCTION("""COMPUTED_VALUE"""),32.95)</f>
        <v>32.95</v>
      </c>
      <c r="F1373" s="1">
        <f>IFERROR(__xludf.DUMMYFUNCTION("""COMPUTED_VALUE"""),711768.0)</f>
        <v>711768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IFERROR(__xludf.DUMMYFUNCTION("""COMPUTED_VALUE"""),32.95)</f>
        <v>32.95</v>
      </c>
      <c r="C1374" s="1">
        <f>IFERROR(__xludf.DUMMYFUNCTION("""COMPUTED_VALUE"""),33.19)</f>
        <v>33.19</v>
      </c>
      <c r="D1374" s="1">
        <f>IFERROR(__xludf.DUMMYFUNCTION("""COMPUTED_VALUE"""),32.27)</f>
        <v>32.27</v>
      </c>
      <c r="E1374" s="1">
        <f>IFERROR(__xludf.DUMMYFUNCTION("""COMPUTED_VALUE"""),32.36)</f>
        <v>32.36</v>
      </c>
      <c r="F1374" s="1">
        <f>IFERROR(__xludf.DUMMYFUNCTION("""COMPUTED_VALUE"""),412918.0)</f>
        <v>412918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IFERROR(__xludf.DUMMYFUNCTION("""COMPUTED_VALUE"""),32.48)</f>
        <v>32.48</v>
      </c>
      <c r="C1375" s="1">
        <f>IFERROR(__xludf.DUMMYFUNCTION("""COMPUTED_VALUE"""),32.8)</f>
        <v>32.8</v>
      </c>
      <c r="D1375" s="1">
        <f>IFERROR(__xludf.DUMMYFUNCTION("""COMPUTED_VALUE"""),32.13)</f>
        <v>32.13</v>
      </c>
      <c r="E1375" s="1">
        <f>IFERROR(__xludf.DUMMYFUNCTION("""COMPUTED_VALUE"""),32.59)</f>
        <v>32.59</v>
      </c>
      <c r="F1375" s="1">
        <f>IFERROR(__xludf.DUMMYFUNCTION("""COMPUTED_VALUE"""),613517.0)</f>
        <v>613517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IFERROR(__xludf.DUMMYFUNCTION("""COMPUTED_VALUE"""),32.73)</f>
        <v>32.73</v>
      </c>
      <c r="C1376" s="1">
        <f>IFERROR(__xludf.DUMMYFUNCTION("""COMPUTED_VALUE"""),32.77)</f>
        <v>32.77</v>
      </c>
      <c r="D1376" s="1">
        <f>IFERROR(__xludf.DUMMYFUNCTION("""COMPUTED_VALUE"""),32.31)</f>
        <v>32.31</v>
      </c>
      <c r="E1376" s="1">
        <f>IFERROR(__xludf.DUMMYFUNCTION("""COMPUTED_VALUE"""),32.41)</f>
        <v>32.41</v>
      </c>
      <c r="F1376" s="1">
        <f>IFERROR(__xludf.DUMMYFUNCTION("""COMPUTED_VALUE"""),2594673.0)</f>
        <v>2594673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IFERROR(__xludf.DUMMYFUNCTION("""COMPUTED_VALUE"""),32.81)</f>
        <v>32.81</v>
      </c>
      <c r="C1377" s="1">
        <f>IFERROR(__xludf.DUMMYFUNCTION("""COMPUTED_VALUE"""),32.82)</f>
        <v>32.82</v>
      </c>
      <c r="D1377" s="1">
        <f>IFERROR(__xludf.DUMMYFUNCTION("""COMPUTED_VALUE"""),32.55)</f>
        <v>32.55</v>
      </c>
      <c r="E1377" s="1">
        <f>IFERROR(__xludf.DUMMYFUNCTION("""COMPUTED_VALUE"""),32.79)</f>
        <v>32.79</v>
      </c>
      <c r="F1377" s="1">
        <f>IFERROR(__xludf.DUMMYFUNCTION("""COMPUTED_VALUE"""),861248.0)</f>
        <v>861248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IFERROR(__xludf.DUMMYFUNCTION("""COMPUTED_VALUE"""),32.77)</f>
        <v>32.77</v>
      </c>
      <c r="C1378" s="1">
        <f>IFERROR(__xludf.DUMMYFUNCTION("""COMPUTED_VALUE"""),33.12)</f>
        <v>33.12</v>
      </c>
      <c r="D1378" s="1">
        <f>IFERROR(__xludf.DUMMYFUNCTION("""COMPUTED_VALUE"""),32.66)</f>
        <v>32.66</v>
      </c>
      <c r="E1378" s="1">
        <f>IFERROR(__xludf.DUMMYFUNCTION("""COMPUTED_VALUE"""),33.07)</f>
        <v>33.07</v>
      </c>
      <c r="F1378" s="1">
        <f>IFERROR(__xludf.DUMMYFUNCTION("""COMPUTED_VALUE"""),486957.0)</f>
        <v>486957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IFERROR(__xludf.DUMMYFUNCTION("""COMPUTED_VALUE"""),33.05)</f>
        <v>33.05</v>
      </c>
      <c r="C1379" s="1">
        <f>IFERROR(__xludf.DUMMYFUNCTION("""COMPUTED_VALUE"""),33.43)</f>
        <v>33.43</v>
      </c>
      <c r="D1379" s="1">
        <f>IFERROR(__xludf.DUMMYFUNCTION("""COMPUTED_VALUE"""),32.85)</f>
        <v>32.85</v>
      </c>
      <c r="E1379" s="1">
        <f>IFERROR(__xludf.DUMMYFUNCTION("""COMPUTED_VALUE"""),33.21)</f>
        <v>33.21</v>
      </c>
      <c r="F1379" s="1">
        <f>IFERROR(__xludf.DUMMYFUNCTION("""COMPUTED_VALUE"""),673271.0)</f>
        <v>673271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IFERROR(__xludf.DUMMYFUNCTION("""COMPUTED_VALUE"""),33.13)</f>
        <v>33.13</v>
      </c>
      <c r="C1380" s="1">
        <f>IFERROR(__xludf.DUMMYFUNCTION("""COMPUTED_VALUE"""),33.54)</f>
        <v>33.54</v>
      </c>
      <c r="D1380" s="1">
        <f>IFERROR(__xludf.DUMMYFUNCTION("""COMPUTED_VALUE"""),32.97)</f>
        <v>32.97</v>
      </c>
      <c r="E1380" s="1">
        <f>IFERROR(__xludf.DUMMYFUNCTION("""COMPUTED_VALUE"""),33.16)</f>
        <v>33.16</v>
      </c>
      <c r="F1380" s="1">
        <f>IFERROR(__xludf.DUMMYFUNCTION("""COMPUTED_VALUE"""),420222.0)</f>
        <v>420222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IFERROR(__xludf.DUMMYFUNCTION("""COMPUTED_VALUE"""),33.26)</f>
        <v>33.26</v>
      </c>
      <c r="C1381" s="1">
        <f>IFERROR(__xludf.DUMMYFUNCTION("""COMPUTED_VALUE"""),33.52)</f>
        <v>33.52</v>
      </c>
      <c r="D1381" s="1">
        <f>IFERROR(__xludf.DUMMYFUNCTION("""COMPUTED_VALUE"""),33.17)</f>
        <v>33.17</v>
      </c>
      <c r="E1381" s="1">
        <f>IFERROR(__xludf.DUMMYFUNCTION("""COMPUTED_VALUE"""),33.37)</f>
        <v>33.37</v>
      </c>
      <c r="F1381" s="1">
        <f>IFERROR(__xludf.DUMMYFUNCTION("""COMPUTED_VALUE"""),1071887.0)</f>
        <v>1071887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IFERROR(__xludf.DUMMYFUNCTION("""COMPUTED_VALUE"""),33.06)</f>
        <v>33.06</v>
      </c>
      <c r="C1382" s="1">
        <f>IFERROR(__xludf.DUMMYFUNCTION("""COMPUTED_VALUE"""),33.22)</f>
        <v>33.22</v>
      </c>
      <c r="D1382" s="1">
        <f>IFERROR(__xludf.DUMMYFUNCTION("""COMPUTED_VALUE"""),32.27)</f>
        <v>32.27</v>
      </c>
      <c r="E1382" s="1">
        <f>IFERROR(__xludf.DUMMYFUNCTION("""COMPUTED_VALUE"""),32.3)</f>
        <v>32.3</v>
      </c>
      <c r="F1382" s="1">
        <f>IFERROR(__xludf.DUMMYFUNCTION("""COMPUTED_VALUE"""),533962.0)</f>
        <v>533962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IFERROR(__xludf.DUMMYFUNCTION("""COMPUTED_VALUE"""),32.14)</f>
        <v>32.14</v>
      </c>
      <c r="C1383" s="1">
        <f>IFERROR(__xludf.DUMMYFUNCTION("""COMPUTED_VALUE"""),32.93)</f>
        <v>32.93</v>
      </c>
      <c r="D1383" s="1">
        <f>IFERROR(__xludf.DUMMYFUNCTION("""COMPUTED_VALUE"""),32.14)</f>
        <v>32.14</v>
      </c>
      <c r="E1383" s="1">
        <f>IFERROR(__xludf.DUMMYFUNCTION("""COMPUTED_VALUE"""),32.45)</f>
        <v>32.45</v>
      </c>
      <c r="F1383" s="1">
        <f>IFERROR(__xludf.DUMMYFUNCTION("""COMPUTED_VALUE"""),449643.0)</f>
        <v>449643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IFERROR(__xludf.DUMMYFUNCTION("""COMPUTED_VALUE"""),32.79)</f>
        <v>32.79</v>
      </c>
      <c r="C1384" s="1">
        <f>IFERROR(__xludf.DUMMYFUNCTION("""COMPUTED_VALUE"""),33.0)</f>
        <v>33</v>
      </c>
      <c r="D1384" s="1">
        <f>IFERROR(__xludf.DUMMYFUNCTION("""COMPUTED_VALUE"""),32.54)</f>
        <v>32.54</v>
      </c>
      <c r="E1384" s="1">
        <f>IFERROR(__xludf.DUMMYFUNCTION("""COMPUTED_VALUE"""),32.73)</f>
        <v>32.73</v>
      </c>
      <c r="F1384" s="1">
        <f>IFERROR(__xludf.DUMMYFUNCTION("""COMPUTED_VALUE"""),524032.0)</f>
        <v>524032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IFERROR(__xludf.DUMMYFUNCTION("""COMPUTED_VALUE"""),32.67)</f>
        <v>32.67</v>
      </c>
      <c r="C1385" s="1">
        <f>IFERROR(__xludf.DUMMYFUNCTION("""COMPUTED_VALUE"""),32.81)</f>
        <v>32.81</v>
      </c>
      <c r="D1385" s="1">
        <f>IFERROR(__xludf.DUMMYFUNCTION("""COMPUTED_VALUE"""),32.02)</f>
        <v>32.02</v>
      </c>
      <c r="E1385" s="1">
        <f>IFERROR(__xludf.DUMMYFUNCTION("""COMPUTED_VALUE"""),32.08)</f>
        <v>32.08</v>
      </c>
      <c r="F1385" s="1">
        <f>IFERROR(__xludf.DUMMYFUNCTION("""COMPUTED_VALUE"""),1045145.0)</f>
        <v>1045145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IFERROR(__xludf.DUMMYFUNCTION("""COMPUTED_VALUE"""),31.7)</f>
        <v>31.7</v>
      </c>
      <c r="C1386" s="1">
        <f>IFERROR(__xludf.DUMMYFUNCTION("""COMPUTED_VALUE"""),32.19)</f>
        <v>32.19</v>
      </c>
      <c r="D1386" s="1">
        <f>IFERROR(__xludf.DUMMYFUNCTION("""COMPUTED_VALUE"""),31.68)</f>
        <v>31.68</v>
      </c>
      <c r="E1386" s="1">
        <f>IFERROR(__xludf.DUMMYFUNCTION("""COMPUTED_VALUE"""),31.93)</f>
        <v>31.93</v>
      </c>
      <c r="F1386" s="1">
        <f>IFERROR(__xludf.DUMMYFUNCTION("""COMPUTED_VALUE"""),728796.0)</f>
        <v>728796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IFERROR(__xludf.DUMMYFUNCTION("""COMPUTED_VALUE"""),31.98)</f>
        <v>31.98</v>
      </c>
      <c r="C1387" s="1">
        <f>IFERROR(__xludf.DUMMYFUNCTION("""COMPUTED_VALUE"""),31.98)</f>
        <v>31.98</v>
      </c>
      <c r="D1387" s="1">
        <f>IFERROR(__xludf.DUMMYFUNCTION("""COMPUTED_VALUE"""),31.15)</f>
        <v>31.15</v>
      </c>
      <c r="E1387" s="1">
        <f>IFERROR(__xludf.DUMMYFUNCTION("""COMPUTED_VALUE"""),31.65)</f>
        <v>31.65</v>
      </c>
      <c r="F1387" s="1">
        <f>IFERROR(__xludf.DUMMYFUNCTION("""COMPUTED_VALUE"""),942528.0)</f>
        <v>942528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IFERROR(__xludf.DUMMYFUNCTION("""COMPUTED_VALUE"""),31.34)</f>
        <v>31.34</v>
      </c>
      <c r="C1388" s="1">
        <f>IFERROR(__xludf.DUMMYFUNCTION("""COMPUTED_VALUE"""),31.72)</f>
        <v>31.72</v>
      </c>
      <c r="D1388" s="1">
        <f>IFERROR(__xludf.DUMMYFUNCTION("""COMPUTED_VALUE"""),31.31)</f>
        <v>31.31</v>
      </c>
      <c r="E1388" s="1">
        <f>IFERROR(__xludf.DUMMYFUNCTION("""COMPUTED_VALUE"""),31.56)</f>
        <v>31.56</v>
      </c>
      <c r="F1388" s="1">
        <f>IFERROR(__xludf.DUMMYFUNCTION("""COMPUTED_VALUE"""),807515.0)</f>
        <v>807515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IFERROR(__xludf.DUMMYFUNCTION("""COMPUTED_VALUE"""),31.93)</f>
        <v>31.93</v>
      </c>
      <c r="C1389" s="1">
        <f>IFERROR(__xludf.DUMMYFUNCTION("""COMPUTED_VALUE"""),32.38)</f>
        <v>32.38</v>
      </c>
      <c r="D1389" s="1">
        <f>IFERROR(__xludf.DUMMYFUNCTION("""COMPUTED_VALUE"""),31.58)</f>
        <v>31.58</v>
      </c>
      <c r="E1389" s="1">
        <f>IFERROR(__xludf.DUMMYFUNCTION("""COMPUTED_VALUE"""),32.23)</f>
        <v>32.23</v>
      </c>
      <c r="F1389" s="1">
        <f>IFERROR(__xludf.DUMMYFUNCTION("""COMPUTED_VALUE"""),590219.0)</f>
        <v>590219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IFERROR(__xludf.DUMMYFUNCTION("""COMPUTED_VALUE"""),32.59)</f>
        <v>32.59</v>
      </c>
      <c r="C1390" s="1">
        <f>IFERROR(__xludf.DUMMYFUNCTION("""COMPUTED_VALUE"""),32.82)</f>
        <v>32.82</v>
      </c>
      <c r="D1390" s="1">
        <f>IFERROR(__xludf.DUMMYFUNCTION("""COMPUTED_VALUE"""),32.26)</f>
        <v>32.26</v>
      </c>
      <c r="E1390" s="1">
        <f>IFERROR(__xludf.DUMMYFUNCTION("""COMPUTED_VALUE"""),32.63)</f>
        <v>32.63</v>
      </c>
      <c r="F1390" s="1">
        <f>IFERROR(__xludf.DUMMYFUNCTION("""COMPUTED_VALUE"""),510576.0)</f>
        <v>510576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IFERROR(__xludf.DUMMYFUNCTION("""COMPUTED_VALUE"""),32.94)</f>
        <v>32.94</v>
      </c>
      <c r="C1391" s="1">
        <f>IFERROR(__xludf.DUMMYFUNCTION("""COMPUTED_VALUE"""),33.21)</f>
        <v>33.21</v>
      </c>
      <c r="D1391" s="1">
        <f>IFERROR(__xludf.DUMMYFUNCTION("""COMPUTED_VALUE"""),32.66)</f>
        <v>32.66</v>
      </c>
      <c r="E1391" s="1">
        <f>IFERROR(__xludf.DUMMYFUNCTION("""COMPUTED_VALUE"""),33.17)</f>
        <v>33.17</v>
      </c>
      <c r="F1391" s="1">
        <f>IFERROR(__xludf.DUMMYFUNCTION("""COMPUTED_VALUE"""),500341.0)</f>
        <v>500341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IFERROR(__xludf.DUMMYFUNCTION("""COMPUTED_VALUE"""),32.93)</f>
        <v>32.93</v>
      </c>
      <c r="C1392" s="1">
        <f>IFERROR(__xludf.DUMMYFUNCTION("""COMPUTED_VALUE"""),33.26)</f>
        <v>33.26</v>
      </c>
      <c r="D1392" s="1">
        <f>IFERROR(__xludf.DUMMYFUNCTION("""COMPUTED_VALUE"""),32.74)</f>
        <v>32.74</v>
      </c>
      <c r="E1392" s="1">
        <f>IFERROR(__xludf.DUMMYFUNCTION("""COMPUTED_VALUE"""),33.14)</f>
        <v>33.14</v>
      </c>
      <c r="F1392" s="1">
        <f>IFERROR(__xludf.DUMMYFUNCTION("""COMPUTED_VALUE"""),390588.0)</f>
        <v>390588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IFERROR(__xludf.DUMMYFUNCTION("""COMPUTED_VALUE"""),33.25)</f>
        <v>33.25</v>
      </c>
      <c r="C1393" s="1">
        <f>IFERROR(__xludf.DUMMYFUNCTION("""COMPUTED_VALUE"""),33.48)</f>
        <v>33.48</v>
      </c>
      <c r="D1393" s="1">
        <f>IFERROR(__xludf.DUMMYFUNCTION("""COMPUTED_VALUE"""),33.09)</f>
        <v>33.09</v>
      </c>
      <c r="E1393" s="1">
        <f>IFERROR(__xludf.DUMMYFUNCTION("""COMPUTED_VALUE"""),33.22)</f>
        <v>33.22</v>
      </c>
      <c r="F1393" s="1">
        <f>IFERROR(__xludf.DUMMYFUNCTION("""COMPUTED_VALUE"""),316474.0)</f>
        <v>316474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IFERROR(__xludf.DUMMYFUNCTION("""COMPUTED_VALUE"""),33.49)</f>
        <v>33.49</v>
      </c>
      <c r="C1394" s="1">
        <f>IFERROR(__xludf.DUMMYFUNCTION("""COMPUTED_VALUE"""),33.66)</f>
        <v>33.66</v>
      </c>
      <c r="D1394" s="1">
        <f>IFERROR(__xludf.DUMMYFUNCTION("""COMPUTED_VALUE"""),33.12)</f>
        <v>33.12</v>
      </c>
      <c r="E1394" s="1">
        <f>IFERROR(__xludf.DUMMYFUNCTION("""COMPUTED_VALUE"""),33.18)</f>
        <v>33.18</v>
      </c>
      <c r="F1394" s="1">
        <f>IFERROR(__xludf.DUMMYFUNCTION("""COMPUTED_VALUE"""),390828.0)</f>
        <v>390828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IFERROR(__xludf.DUMMYFUNCTION("""COMPUTED_VALUE"""),33.21)</f>
        <v>33.21</v>
      </c>
      <c r="C1395" s="1">
        <f>IFERROR(__xludf.DUMMYFUNCTION("""COMPUTED_VALUE"""),33.21)</f>
        <v>33.21</v>
      </c>
      <c r="D1395" s="1">
        <f>IFERROR(__xludf.DUMMYFUNCTION("""COMPUTED_VALUE"""),32.58)</f>
        <v>32.58</v>
      </c>
      <c r="E1395" s="1">
        <f>IFERROR(__xludf.DUMMYFUNCTION("""COMPUTED_VALUE"""),32.87)</f>
        <v>32.87</v>
      </c>
      <c r="F1395" s="1">
        <f>IFERROR(__xludf.DUMMYFUNCTION("""COMPUTED_VALUE"""),421820.0)</f>
        <v>421820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IFERROR(__xludf.DUMMYFUNCTION("""COMPUTED_VALUE"""),33.0)</f>
        <v>33</v>
      </c>
      <c r="C1396" s="1">
        <f>IFERROR(__xludf.DUMMYFUNCTION("""COMPUTED_VALUE"""),33.36)</f>
        <v>33.36</v>
      </c>
      <c r="D1396" s="1">
        <f>IFERROR(__xludf.DUMMYFUNCTION("""COMPUTED_VALUE"""),32.82)</f>
        <v>32.82</v>
      </c>
      <c r="E1396" s="1">
        <f>IFERROR(__xludf.DUMMYFUNCTION("""COMPUTED_VALUE"""),33.29)</f>
        <v>33.29</v>
      </c>
      <c r="F1396" s="1">
        <f>IFERROR(__xludf.DUMMYFUNCTION("""COMPUTED_VALUE"""),408419.0)</f>
        <v>408419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IFERROR(__xludf.DUMMYFUNCTION("""COMPUTED_VALUE"""),33.3)</f>
        <v>33.3</v>
      </c>
      <c r="C1397" s="1">
        <f>IFERROR(__xludf.DUMMYFUNCTION("""COMPUTED_VALUE"""),33.69)</f>
        <v>33.69</v>
      </c>
      <c r="D1397" s="1">
        <f>IFERROR(__xludf.DUMMYFUNCTION("""COMPUTED_VALUE"""),32.87)</f>
        <v>32.87</v>
      </c>
      <c r="E1397" s="1">
        <f>IFERROR(__xludf.DUMMYFUNCTION("""COMPUTED_VALUE"""),33.02)</f>
        <v>33.02</v>
      </c>
      <c r="F1397" s="1">
        <f>IFERROR(__xludf.DUMMYFUNCTION("""COMPUTED_VALUE"""),461636.0)</f>
        <v>461636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IFERROR(__xludf.DUMMYFUNCTION("""COMPUTED_VALUE"""),33.78)</f>
        <v>33.78</v>
      </c>
      <c r="C1398" s="1">
        <f>IFERROR(__xludf.DUMMYFUNCTION("""COMPUTED_VALUE"""),34.75)</f>
        <v>34.75</v>
      </c>
      <c r="D1398" s="1">
        <f>IFERROR(__xludf.DUMMYFUNCTION("""COMPUTED_VALUE"""),33.57)</f>
        <v>33.57</v>
      </c>
      <c r="E1398" s="1">
        <f>IFERROR(__xludf.DUMMYFUNCTION("""COMPUTED_VALUE"""),34.14)</f>
        <v>34.14</v>
      </c>
      <c r="F1398" s="1">
        <f>IFERROR(__xludf.DUMMYFUNCTION("""COMPUTED_VALUE"""),1423785.0)</f>
        <v>1423785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IFERROR(__xludf.DUMMYFUNCTION("""COMPUTED_VALUE"""),34.15)</f>
        <v>34.15</v>
      </c>
      <c r="C1399" s="1">
        <f>IFERROR(__xludf.DUMMYFUNCTION("""COMPUTED_VALUE"""),34.3)</f>
        <v>34.3</v>
      </c>
      <c r="D1399" s="1">
        <f>IFERROR(__xludf.DUMMYFUNCTION("""COMPUTED_VALUE"""),33.36)</f>
        <v>33.36</v>
      </c>
      <c r="E1399" s="1">
        <f>IFERROR(__xludf.DUMMYFUNCTION("""COMPUTED_VALUE"""),33.45)</f>
        <v>33.45</v>
      </c>
      <c r="F1399" s="1">
        <f>IFERROR(__xludf.DUMMYFUNCTION("""COMPUTED_VALUE"""),597690.0)</f>
        <v>597690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IFERROR(__xludf.DUMMYFUNCTION("""COMPUTED_VALUE"""),33.34)</f>
        <v>33.34</v>
      </c>
      <c r="C1400" s="1">
        <f>IFERROR(__xludf.DUMMYFUNCTION("""COMPUTED_VALUE"""),33.39)</f>
        <v>33.39</v>
      </c>
      <c r="D1400" s="1">
        <f>IFERROR(__xludf.DUMMYFUNCTION("""COMPUTED_VALUE"""),32.83)</f>
        <v>32.83</v>
      </c>
      <c r="E1400" s="1">
        <f>IFERROR(__xludf.DUMMYFUNCTION("""COMPUTED_VALUE"""),32.87)</f>
        <v>32.87</v>
      </c>
      <c r="F1400" s="1">
        <f>IFERROR(__xludf.DUMMYFUNCTION("""COMPUTED_VALUE"""),617414.0)</f>
        <v>617414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IFERROR(__xludf.DUMMYFUNCTION("""COMPUTED_VALUE"""),32.66)</f>
        <v>32.66</v>
      </c>
      <c r="C1401" s="1">
        <f>IFERROR(__xludf.DUMMYFUNCTION("""COMPUTED_VALUE"""),32.66)</f>
        <v>32.66</v>
      </c>
      <c r="D1401" s="1">
        <f>IFERROR(__xludf.DUMMYFUNCTION("""COMPUTED_VALUE"""),32.08)</f>
        <v>32.08</v>
      </c>
      <c r="E1401" s="1">
        <f>IFERROR(__xludf.DUMMYFUNCTION("""COMPUTED_VALUE"""),32.38)</f>
        <v>32.38</v>
      </c>
      <c r="F1401" s="1">
        <f>IFERROR(__xludf.DUMMYFUNCTION("""COMPUTED_VALUE"""),635099.0)</f>
        <v>635099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IFERROR(__xludf.DUMMYFUNCTION("""COMPUTED_VALUE"""),32.67)</f>
        <v>32.67</v>
      </c>
      <c r="C1402" s="1">
        <f>IFERROR(__xludf.DUMMYFUNCTION("""COMPUTED_VALUE"""),32.68)</f>
        <v>32.68</v>
      </c>
      <c r="D1402" s="1">
        <f>IFERROR(__xludf.DUMMYFUNCTION("""COMPUTED_VALUE"""),32.11)</f>
        <v>32.11</v>
      </c>
      <c r="E1402" s="1">
        <f>IFERROR(__xludf.DUMMYFUNCTION("""COMPUTED_VALUE"""),32.29)</f>
        <v>32.29</v>
      </c>
      <c r="F1402" s="1">
        <f>IFERROR(__xludf.DUMMYFUNCTION("""COMPUTED_VALUE"""),588287.0)</f>
        <v>588287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IFERROR(__xludf.DUMMYFUNCTION("""COMPUTED_VALUE"""),32.34)</f>
        <v>32.34</v>
      </c>
      <c r="C1403" s="1">
        <f>IFERROR(__xludf.DUMMYFUNCTION("""COMPUTED_VALUE"""),32.45)</f>
        <v>32.45</v>
      </c>
      <c r="D1403" s="1">
        <f>IFERROR(__xludf.DUMMYFUNCTION("""COMPUTED_VALUE"""),32.06)</f>
        <v>32.06</v>
      </c>
      <c r="E1403" s="1">
        <f>IFERROR(__xludf.DUMMYFUNCTION("""COMPUTED_VALUE"""),32.32)</f>
        <v>32.32</v>
      </c>
      <c r="F1403" s="1">
        <f>IFERROR(__xludf.DUMMYFUNCTION("""COMPUTED_VALUE"""),705549.0)</f>
        <v>705549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IFERROR(__xludf.DUMMYFUNCTION("""COMPUTED_VALUE"""),32.11)</f>
        <v>32.11</v>
      </c>
      <c r="C1404" s="1">
        <f>IFERROR(__xludf.DUMMYFUNCTION("""COMPUTED_VALUE"""),32.48)</f>
        <v>32.48</v>
      </c>
      <c r="D1404" s="1">
        <f>IFERROR(__xludf.DUMMYFUNCTION("""COMPUTED_VALUE"""),32.06)</f>
        <v>32.06</v>
      </c>
      <c r="E1404" s="1">
        <f>IFERROR(__xludf.DUMMYFUNCTION("""COMPUTED_VALUE"""),32.43)</f>
        <v>32.43</v>
      </c>
      <c r="F1404" s="1">
        <f>IFERROR(__xludf.DUMMYFUNCTION("""COMPUTED_VALUE"""),697331.0)</f>
        <v>697331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IFERROR(__xludf.DUMMYFUNCTION("""COMPUTED_VALUE"""),32.41)</f>
        <v>32.41</v>
      </c>
      <c r="C1405" s="1">
        <f>IFERROR(__xludf.DUMMYFUNCTION("""COMPUTED_VALUE"""),32.47)</f>
        <v>32.47</v>
      </c>
      <c r="D1405" s="1">
        <f>IFERROR(__xludf.DUMMYFUNCTION("""COMPUTED_VALUE"""),31.95)</f>
        <v>31.95</v>
      </c>
      <c r="E1405" s="1">
        <f>IFERROR(__xludf.DUMMYFUNCTION("""COMPUTED_VALUE"""),32.11)</f>
        <v>32.11</v>
      </c>
      <c r="F1405" s="1">
        <f>IFERROR(__xludf.DUMMYFUNCTION("""COMPUTED_VALUE"""),1020461.0)</f>
        <v>1020461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IFERROR(__xludf.DUMMYFUNCTION("""COMPUTED_VALUE"""),32.15)</f>
        <v>32.15</v>
      </c>
      <c r="C1406" s="1">
        <f>IFERROR(__xludf.DUMMYFUNCTION("""COMPUTED_VALUE"""),32.36)</f>
        <v>32.36</v>
      </c>
      <c r="D1406" s="1">
        <f>IFERROR(__xludf.DUMMYFUNCTION("""COMPUTED_VALUE"""),31.87)</f>
        <v>31.87</v>
      </c>
      <c r="E1406" s="1">
        <f>IFERROR(__xludf.DUMMYFUNCTION("""COMPUTED_VALUE"""),32.3)</f>
        <v>32.3</v>
      </c>
      <c r="F1406" s="1">
        <f>IFERROR(__xludf.DUMMYFUNCTION("""COMPUTED_VALUE"""),506486.0)</f>
        <v>506486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IFERROR(__xludf.DUMMYFUNCTION("""COMPUTED_VALUE"""),32.42)</f>
        <v>32.42</v>
      </c>
      <c r="C1407" s="1">
        <f>IFERROR(__xludf.DUMMYFUNCTION("""COMPUTED_VALUE"""),32.85)</f>
        <v>32.85</v>
      </c>
      <c r="D1407" s="1">
        <f>IFERROR(__xludf.DUMMYFUNCTION("""COMPUTED_VALUE"""),32.38)</f>
        <v>32.38</v>
      </c>
      <c r="E1407" s="1">
        <f>IFERROR(__xludf.DUMMYFUNCTION("""COMPUTED_VALUE"""),32.54)</f>
        <v>32.54</v>
      </c>
      <c r="F1407" s="1">
        <f>IFERROR(__xludf.DUMMYFUNCTION("""COMPUTED_VALUE"""),495735.0)</f>
        <v>495735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IFERROR(__xludf.DUMMYFUNCTION("""COMPUTED_VALUE"""),32.67)</f>
        <v>32.67</v>
      </c>
      <c r="C1408" s="1">
        <f>IFERROR(__xludf.DUMMYFUNCTION("""COMPUTED_VALUE"""),33.07)</f>
        <v>33.07</v>
      </c>
      <c r="D1408" s="1">
        <f>IFERROR(__xludf.DUMMYFUNCTION("""COMPUTED_VALUE"""),32.53)</f>
        <v>32.53</v>
      </c>
      <c r="E1408" s="1">
        <f>IFERROR(__xludf.DUMMYFUNCTION("""COMPUTED_VALUE"""),32.63)</f>
        <v>32.63</v>
      </c>
      <c r="F1408" s="1">
        <f>IFERROR(__xludf.DUMMYFUNCTION("""COMPUTED_VALUE"""),582674.0)</f>
        <v>582674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IFERROR(__xludf.DUMMYFUNCTION("""COMPUTED_VALUE"""),32.77)</f>
        <v>32.77</v>
      </c>
      <c r="C1409" s="1">
        <f>IFERROR(__xludf.DUMMYFUNCTION("""COMPUTED_VALUE"""),32.88)</f>
        <v>32.88</v>
      </c>
      <c r="D1409" s="1">
        <f>IFERROR(__xludf.DUMMYFUNCTION("""COMPUTED_VALUE"""),32.28)</f>
        <v>32.28</v>
      </c>
      <c r="E1409" s="1">
        <f>IFERROR(__xludf.DUMMYFUNCTION("""COMPUTED_VALUE"""),32.48)</f>
        <v>32.48</v>
      </c>
      <c r="F1409" s="1">
        <f>IFERROR(__xludf.DUMMYFUNCTION("""COMPUTED_VALUE"""),399557.0)</f>
        <v>399557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IFERROR(__xludf.DUMMYFUNCTION("""COMPUTED_VALUE"""),32.28)</f>
        <v>32.28</v>
      </c>
      <c r="C1410" s="1">
        <f>IFERROR(__xludf.DUMMYFUNCTION("""COMPUTED_VALUE"""),32.62)</f>
        <v>32.62</v>
      </c>
      <c r="D1410" s="1">
        <f>IFERROR(__xludf.DUMMYFUNCTION("""COMPUTED_VALUE"""),31.99)</f>
        <v>31.99</v>
      </c>
      <c r="E1410" s="1">
        <f>IFERROR(__xludf.DUMMYFUNCTION("""COMPUTED_VALUE"""),32.18)</f>
        <v>32.18</v>
      </c>
      <c r="F1410" s="1">
        <f>IFERROR(__xludf.DUMMYFUNCTION("""COMPUTED_VALUE"""),671414.0)</f>
        <v>671414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IFERROR(__xludf.DUMMYFUNCTION("""COMPUTED_VALUE"""),32.46)</f>
        <v>32.46</v>
      </c>
      <c r="C1411" s="1">
        <f>IFERROR(__xludf.DUMMYFUNCTION("""COMPUTED_VALUE"""),32.87)</f>
        <v>32.87</v>
      </c>
      <c r="D1411" s="1">
        <f>IFERROR(__xludf.DUMMYFUNCTION("""COMPUTED_VALUE"""),32.38)</f>
        <v>32.38</v>
      </c>
      <c r="E1411" s="1">
        <f>IFERROR(__xludf.DUMMYFUNCTION("""COMPUTED_VALUE"""),32.83)</f>
        <v>32.83</v>
      </c>
      <c r="F1411" s="1">
        <f>IFERROR(__xludf.DUMMYFUNCTION("""COMPUTED_VALUE"""),303074.0)</f>
        <v>303074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IFERROR(__xludf.DUMMYFUNCTION("""COMPUTED_VALUE"""),32.45)</f>
        <v>32.45</v>
      </c>
      <c r="C1412" s="1">
        <f>IFERROR(__xludf.DUMMYFUNCTION("""COMPUTED_VALUE"""),32.74)</f>
        <v>32.74</v>
      </c>
      <c r="D1412" s="1">
        <f>IFERROR(__xludf.DUMMYFUNCTION("""COMPUTED_VALUE"""),32.06)</f>
        <v>32.06</v>
      </c>
      <c r="E1412" s="1">
        <f>IFERROR(__xludf.DUMMYFUNCTION("""COMPUTED_VALUE"""),32.28)</f>
        <v>32.28</v>
      </c>
      <c r="F1412" s="1">
        <f>IFERROR(__xludf.DUMMYFUNCTION("""COMPUTED_VALUE"""),276484.0)</f>
        <v>276484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IFERROR(__xludf.DUMMYFUNCTION("""COMPUTED_VALUE"""),32.0)</f>
        <v>32</v>
      </c>
      <c r="C1413" s="1">
        <f>IFERROR(__xludf.DUMMYFUNCTION("""COMPUTED_VALUE"""),32.27)</f>
        <v>32.27</v>
      </c>
      <c r="D1413" s="1">
        <f>IFERROR(__xludf.DUMMYFUNCTION("""COMPUTED_VALUE"""),31.16)</f>
        <v>31.16</v>
      </c>
      <c r="E1413" s="1">
        <f>IFERROR(__xludf.DUMMYFUNCTION("""COMPUTED_VALUE"""),31.63)</f>
        <v>31.63</v>
      </c>
      <c r="F1413" s="1">
        <f>IFERROR(__xludf.DUMMYFUNCTION("""COMPUTED_VALUE"""),468515.0)</f>
        <v>468515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IFERROR(__xludf.DUMMYFUNCTION("""COMPUTED_VALUE"""),31.74)</f>
        <v>31.74</v>
      </c>
      <c r="C1414" s="1">
        <f>IFERROR(__xludf.DUMMYFUNCTION("""COMPUTED_VALUE"""),32.2)</f>
        <v>32.2</v>
      </c>
      <c r="D1414" s="1">
        <f>IFERROR(__xludf.DUMMYFUNCTION("""COMPUTED_VALUE"""),31.55)</f>
        <v>31.55</v>
      </c>
      <c r="E1414" s="1">
        <f>IFERROR(__xludf.DUMMYFUNCTION("""COMPUTED_VALUE"""),31.72)</f>
        <v>31.72</v>
      </c>
      <c r="F1414" s="1">
        <f>IFERROR(__xludf.DUMMYFUNCTION("""COMPUTED_VALUE"""),326993.0)</f>
        <v>326993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IFERROR(__xludf.DUMMYFUNCTION("""COMPUTED_VALUE"""),31.64)</f>
        <v>31.64</v>
      </c>
      <c r="C1415" s="1">
        <f>IFERROR(__xludf.DUMMYFUNCTION("""COMPUTED_VALUE"""),32.19)</f>
        <v>32.19</v>
      </c>
      <c r="D1415" s="1">
        <f>IFERROR(__xludf.DUMMYFUNCTION("""COMPUTED_VALUE"""),31.64)</f>
        <v>31.64</v>
      </c>
      <c r="E1415" s="1">
        <f>IFERROR(__xludf.DUMMYFUNCTION("""COMPUTED_VALUE"""),32.18)</f>
        <v>32.18</v>
      </c>
      <c r="F1415" s="1">
        <f>IFERROR(__xludf.DUMMYFUNCTION("""COMPUTED_VALUE"""),245911.0)</f>
        <v>245911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IFERROR(__xludf.DUMMYFUNCTION("""COMPUTED_VALUE"""),32.12)</f>
        <v>32.12</v>
      </c>
      <c r="C1416" s="1">
        <f>IFERROR(__xludf.DUMMYFUNCTION("""COMPUTED_VALUE"""),32.47)</f>
        <v>32.47</v>
      </c>
      <c r="D1416" s="1">
        <f>IFERROR(__xludf.DUMMYFUNCTION("""COMPUTED_VALUE"""),31.72)</f>
        <v>31.72</v>
      </c>
      <c r="E1416" s="1">
        <f>IFERROR(__xludf.DUMMYFUNCTION("""COMPUTED_VALUE"""),32.19)</f>
        <v>32.19</v>
      </c>
      <c r="F1416" s="1">
        <f>IFERROR(__xludf.DUMMYFUNCTION("""COMPUTED_VALUE"""),544804.0)</f>
        <v>544804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IFERROR(__xludf.DUMMYFUNCTION("""COMPUTED_VALUE"""),32.17)</f>
        <v>32.17</v>
      </c>
      <c r="C1417" s="1">
        <f>IFERROR(__xludf.DUMMYFUNCTION("""COMPUTED_VALUE"""),32.44)</f>
        <v>32.44</v>
      </c>
      <c r="D1417" s="1">
        <f>IFERROR(__xludf.DUMMYFUNCTION("""COMPUTED_VALUE"""),31.95)</f>
        <v>31.95</v>
      </c>
      <c r="E1417" s="1">
        <f>IFERROR(__xludf.DUMMYFUNCTION("""COMPUTED_VALUE"""),32.02)</f>
        <v>32.02</v>
      </c>
      <c r="F1417" s="1">
        <f>IFERROR(__xludf.DUMMYFUNCTION("""COMPUTED_VALUE"""),435908.0)</f>
        <v>435908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IFERROR(__xludf.DUMMYFUNCTION("""COMPUTED_VALUE"""),31.86)</f>
        <v>31.86</v>
      </c>
      <c r="C1418" s="1">
        <f>IFERROR(__xludf.DUMMYFUNCTION("""COMPUTED_VALUE"""),31.87)</f>
        <v>31.87</v>
      </c>
      <c r="D1418" s="1">
        <f>IFERROR(__xludf.DUMMYFUNCTION("""COMPUTED_VALUE"""),31.47)</f>
        <v>31.47</v>
      </c>
      <c r="E1418" s="1">
        <f>IFERROR(__xludf.DUMMYFUNCTION("""COMPUTED_VALUE"""),31.59)</f>
        <v>31.59</v>
      </c>
      <c r="F1418" s="1">
        <f>IFERROR(__xludf.DUMMYFUNCTION("""COMPUTED_VALUE"""),529827.0)</f>
        <v>529827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IFERROR(__xludf.DUMMYFUNCTION("""COMPUTED_VALUE"""),31.26)</f>
        <v>31.26</v>
      </c>
      <c r="C1419" s="1">
        <f>IFERROR(__xludf.DUMMYFUNCTION("""COMPUTED_VALUE"""),31.64)</f>
        <v>31.64</v>
      </c>
      <c r="D1419" s="1">
        <f>IFERROR(__xludf.DUMMYFUNCTION("""COMPUTED_VALUE"""),30.52)</f>
        <v>30.52</v>
      </c>
      <c r="E1419" s="1">
        <f>IFERROR(__xludf.DUMMYFUNCTION("""COMPUTED_VALUE"""),30.52)</f>
        <v>30.52</v>
      </c>
      <c r="F1419" s="1">
        <f>IFERROR(__xludf.DUMMYFUNCTION("""COMPUTED_VALUE"""),442897.0)</f>
        <v>442897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IFERROR(__xludf.DUMMYFUNCTION("""COMPUTED_VALUE"""),30.07)</f>
        <v>30.07</v>
      </c>
      <c r="C1420" s="1">
        <f>IFERROR(__xludf.DUMMYFUNCTION("""COMPUTED_VALUE"""),30.76)</f>
        <v>30.76</v>
      </c>
      <c r="D1420" s="1">
        <f>IFERROR(__xludf.DUMMYFUNCTION("""COMPUTED_VALUE"""),30.0)</f>
        <v>30</v>
      </c>
      <c r="E1420" s="1">
        <f>IFERROR(__xludf.DUMMYFUNCTION("""COMPUTED_VALUE"""),30.29)</f>
        <v>30.29</v>
      </c>
      <c r="F1420" s="1">
        <f>IFERROR(__xludf.DUMMYFUNCTION("""COMPUTED_VALUE"""),714247.0)</f>
        <v>714247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IFERROR(__xludf.DUMMYFUNCTION("""COMPUTED_VALUE"""),28.92)</f>
        <v>28.92</v>
      </c>
      <c r="C1421" s="1">
        <f>IFERROR(__xludf.DUMMYFUNCTION("""COMPUTED_VALUE"""),29.5)</f>
        <v>29.5</v>
      </c>
      <c r="D1421" s="1">
        <f>IFERROR(__xludf.DUMMYFUNCTION("""COMPUTED_VALUE"""),27.57)</f>
        <v>27.57</v>
      </c>
      <c r="E1421" s="1">
        <f>IFERROR(__xludf.DUMMYFUNCTION("""COMPUTED_VALUE"""),28.2)</f>
        <v>28.2</v>
      </c>
      <c r="F1421" s="1">
        <f>IFERROR(__xludf.DUMMYFUNCTION("""COMPUTED_VALUE"""),1126881.0)</f>
        <v>1126881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IFERROR(__xludf.DUMMYFUNCTION("""COMPUTED_VALUE"""),29.22)</f>
        <v>29.22</v>
      </c>
      <c r="C1422" s="1">
        <f>IFERROR(__xludf.DUMMYFUNCTION("""COMPUTED_VALUE"""),29.22)</f>
        <v>29.22</v>
      </c>
      <c r="D1422" s="1">
        <f>IFERROR(__xludf.DUMMYFUNCTION("""COMPUTED_VALUE"""),27.67)</f>
        <v>27.67</v>
      </c>
      <c r="E1422" s="1">
        <f>IFERROR(__xludf.DUMMYFUNCTION("""COMPUTED_VALUE"""),27.73)</f>
        <v>27.73</v>
      </c>
      <c r="F1422" s="1">
        <f>IFERROR(__xludf.DUMMYFUNCTION("""COMPUTED_VALUE"""),805635.0)</f>
        <v>805635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IFERROR(__xludf.DUMMYFUNCTION("""COMPUTED_VALUE"""),28.39)</f>
        <v>28.39</v>
      </c>
      <c r="C1423" s="1">
        <f>IFERROR(__xludf.DUMMYFUNCTION("""COMPUTED_VALUE"""),28.94)</f>
        <v>28.94</v>
      </c>
      <c r="D1423" s="1">
        <f>IFERROR(__xludf.DUMMYFUNCTION("""COMPUTED_VALUE"""),27.96)</f>
        <v>27.96</v>
      </c>
      <c r="E1423" s="1">
        <f>IFERROR(__xludf.DUMMYFUNCTION("""COMPUTED_VALUE"""),28.9)</f>
        <v>28.9</v>
      </c>
      <c r="F1423" s="1">
        <f>IFERROR(__xludf.DUMMYFUNCTION("""COMPUTED_VALUE"""),702511.0)</f>
        <v>702511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IFERROR(__xludf.DUMMYFUNCTION("""COMPUTED_VALUE"""),29.21)</f>
        <v>29.21</v>
      </c>
      <c r="C1424" s="1">
        <f>IFERROR(__xludf.DUMMYFUNCTION("""COMPUTED_VALUE"""),29.66)</f>
        <v>29.66</v>
      </c>
      <c r="D1424" s="1">
        <f>IFERROR(__xludf.DUMMYFUNCTION("""COMPUTED_VALUE"""),29.0)</f>
        <v>29</v>
      </c>
      <c r="E1424" s="1">
        <f>IFERROR(__xludf.DUMMYFUNCTION("""COMPUTED_VALUE"""),29.48)</f>
        <v>29.48</v>
      </c>
      <c r="F1424" s="1">
        <f>IFERROR(__xludf.DUMMYFUNCTION("""COMPUTED_VALUE"""),968209.0)</f>
        <v>968209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IFERROR(__xludf.DUMMYFUNCTION("""COMPUTED_VALUE"""),29.13)</f>
        <v>29.13</v>
      </c>
      <c r="C1425" s="1">
        <f>IFERROR(__xludf.DUMMYFUNCTION("""COMPUTED_VALUE"""),29.82)</f>
        <v>29.82</v>
      </c>
      <c r="D1425" s="1">
        <f>IFERROR(__xludf.DUMMYFUNCTION("""COMPUTED_VALUE"""),29.13)</f>
        <v>29.13</v>
      </c>
      <c r="E1425" s="1">
        <f>IFERROR(__xludf.DUMMYFUNCTION("""COMPUTED_VALUE"""),29.47)</f>
        <v>29.47</v>
      </c>
      <c r="F1425" s="1">
        <f>IFERROR(__xludf.DUMMYFUNCTION("""COMPUTED_VALUE"""),739121.0)</f>
        <v>739121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IFERROR(__xludf.DUMMYFUNCTION("""COMPUTED_VALUE"""),29.18)</f>
        <v>29.18</v>
      </c>
      <c r="C1426" s="1">
        <f>IFERROR(__xludf.DUMMYFUNCTION("""COMPUTED_VALUE"""),29.73)</f>
        <v>29.73</v>
      </c>
      <c r="D1426" s="1">
        <f>IFERROR(__xludf.DUMMYFUNCTION("""COMPUTED_VALUE"""),29.18)</f>
        <v>29.18</v>
      </c>
      <c r="E1426" s="1">
        <f>IFERROR(__xludf.DUMMYFUNCTION("""COMPUTED_VALUE"""),29.63)</f>
        <v>29.63</v>
      </c>
      <c r="F1426" s="1">
        <f>IFERROR(__xludf.DUMMYFUNCTION("""COMPUTED_VALUE"""),503333.0)</f>
        <v>503333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IFERROR(__xludf.DUMMYFUNCTION("""COMPUTED_VALUE"""),29.19)</f>
        <v>29.19</v>
      </c>
      <c r="C1427" s="1">
        <f>IFERROR(__xludf.DUMMYFUNCTION("""COMPUTED_VALUE"""),29.3)</f>
        <v>29.3</v>
      </c>
      <c r="D1427" s="1">
        <f>IFERROR(__xludf.DUMMYFUNCTION("""COMPUTED_VALUE"""),28.29)</f>
        <v>28.29</v>
      </c>
      <c r="E1427" s="1">
        <f>IFERROR(__xludf.DUMMYFUNCTION("""COMPUTED_VALUE"""),28.41)</f>
        <v>28.41</v>
      </c>
      <c r="F1427" s="1">
        <f>IFERROR(__xludf.DUMMYFUNCTION("""COMPUTED_VALUE"""),674020.0)</f>
        <v>674020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IFERROR(__xludf.DUMMYFUNCTION("""COMPUTED_VALUE"""),28.68)</f>
        <v>28.68</v>
      </c>
      <c r="C1428" s="1">
        <f>IFERROR(__xludf.DUMMYFUNCTION("""COMPUTED_VALUE"""),29.13)</f>
        <v>29.13</v>
      </c>
      <c r="D1428" s="1">
        <f>IFERROR(__xludf.DUMMYFUNCTION("""COMPUTED_VALUE"""),28.34)</f>
        <v>28.34</v>
      </c>
      <c r="E1428" s="1">
        <f>IFERROR(__xludf.DUMMYFUNCTION("""COMPUTED_VALUE"""),29.09)</f>
        <v>29.09</v>
      </c>
      <c r="F1428" s="1">
        <f>IFERROR(__xludf.DUMMYFUNCTION("""COMPUTED_VALUE"""),569828.0)</f>
        <v>569828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IFERROR(__xludf.DUMMYFUNCTION("""COMPUTED_VALUE"""),29.05)</f>
        <v>29.05</v>
      </c>
      <c r="C1429" s="1">
        <f>IFERROR(__xludf.DUMMYFUNCTION("""COMPUTED_VALUE"""),29.64)</f>
        <v>29.64</v>
      </c>
      <c r="D1429" s="1">
        <f>IFERROR(__xludf.DUMMYFUNCTION("""COMPUTED_VALUE"""),28.92)</f>
        <v>28.92</v>
      </c>
      <c r="E1429" s="1">
        <f>IFERROR(__xludf.DUMMYFUNCTION("""COMPUTED_VALUE"""),29.26)</f>
        <v>29.26</v>
      </c>
      <c r="F1429" s="1">
        <f>IFERROR(__xludf.DUMMYFUNCTION("""COMPUTED_VALUE"""),699415.0)</f>
        <v>699415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IFERROR(__xludf.DUMMYFUNCTION("""COMPUTED_VALUE"""),29.0)</f>
        <v>29</v>
      </c>
      <c r="C1430" s="1">
        <f>IFERROR(__xludf.DUMMYFUNCTION("""COMPUTED_VALUE"""),29.25)</f>
        <v>29.25</v>
      </c>
      <c r="D1430" s="1">
        <f>IFERROR(__xludf.DUMMYFUNCTION("""COMPUTED_VALUE"""),28.62)</f>
        <v>28.62</v>
      </c>
      <c r="E1430" s="1">
        <f>IFERROR(__xludf.DUMMYFUNCTION("""COMPUTED_VALUE"""),29.05)</f>
        <v>29.05</v>
      </c>
      <c r="F1430" s="1">
        <f>IFERROR(__xludf.DUMMYFUNCTION("""COMPUTED_VALUE"""),550926.0)</f>
        <v>550926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IFERROR(__xludf.DUMMYFUNCTION("""COMPUTED_VALUE"""),29.58)</f>
        <v>29.58</v>
      </c>
      <c r="C1431" s="1">
        <f>IFERROR(__xludf.DUMMYFUNCTION("""COMPUTED_VALUE"""),29.82)</f>
        <v>29.82</v>
      </c>
      <c r="D1431" s="1">
        <f>IFERROR(__xludf.DUMMYFUNCTION("""COMPUTED_VALUE"""),28.96)</f>
        <v>28.96</v>
      </c>
      <c r="E1431" s="1">
        <f>IFERROR(__xludf.DUMMYFUNCTION("""COMPUTED_VALUE"""),29.76)</f>
        <v>29.76</v>
      </c>
      <c r="F1431" s="1">
        <f>IFERROR(__xludf.DUMMYFUNCTION("""COMPUTED_VALUE"""),595129.0)</f>
        <v>595129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IFERROR(__xludf.DUMMYFUNCTION("""COMPUTED_VALUE"""),29.9)</f>
        <v>29.9</v>
      </c>
      <c r="C1432" s="1">
        <f>IFERROR(__xludf.DUMMYFUNCTION("""COMPUTED_VALUE"""),30.25)</f>
        <v>30.25</v>
      </c>
      <c r="D1432" s="1">
        <f>IFERROR(__xludf.DUMMYFUNCTION("""COMPUTED_VALUE"""),29.51)</f>
        <v>29.51</v>
      </c>
      <c r="E1432" s="1">
        <f>IFERROR(__xludf.DUMMYFUNCTION("""COMPUTED_VALUE"""),29.54)</f>
        <v>29.54</v>
      </c>
      <c r="F1432" s="1">
        <f>IFERROR(__xludf.DUMMYFUNCTION("""COMPUTED_VALUE"""),429722.0)</f>
        <v>429722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IFERROR(__xludf.DUMMYFUNCTION("""COMPUTED_VALUE"""),29.33)</f>
        <v>29.33</v>
      </c>
      <c r="C1433" s="1">
        <f>IFERROR(__xludf.DUMMYFUNCTION("""COMPUTED_VALUE"""),30.1)</f>
        <v>30.1</v>
      </c>
      <c r="D1433" s="1">
        <f>IFERROR(__xludf.DUMMYFUNCTION("""COMPUTED_VALUE"""),29.33)</f>
        <v>29.33</v>
      </c>
      <c r="E1433" s="1">
        <f>IFERROR(__xludf.DUMMYFUNCTION("""COMPUTED_VALUE"""),29.88)</f>
        <v>29.88</v>
      </c>
      <c r="F1433" s="1">
        <f>IFERROR(__xludf.DUMMYFUNCTION("""COMPUTED_VALUE"""),426295.0)</f>
        <v>426295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IFERROR(__xludf.DUMMYFUNCTION("""COMPUTED_VALUE"""),29.62)</f>
        <v>29.62</v>
      </c>
      <c r="C1434" s="1">
        <f>IFERROR(__xludf.DUMMYFUNCTION("""COMPUTED_VALUE"""),30.25)</f>
        <v>30.25</v>
      </c>
      <c r="D1434" s="1">
        <f>IFERROR(__xludf.DUMMYFUNCTION("""COMPUTED_VALUE"""),29.58)</f>
        <v>29.58</v>
      </c>
      <c r="E1434" s="1">
        <f>IFERROR(__xludf.DUMMYFUNCTION("""COMPUTED_VALUE"""),30.17)</f>
        <v>30.17</v>
      </c>
      <c r="F1434" s="1">
        <f>IFERROR(__xludf.DUMMYFUNCTION("""COMPUTED_VALUE"""),477843.0)</f>
        <v>477843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IFERROR(__xludf.DUMMYFUNCTION("""COMPUTED_VALUE"""),30.23)</f>
        <v>30.23</v>
      </c>
      <c r="C1435" s="1">
        <f>IFERROR(__xludf.DUMMYFUNCTION("""COMPUTED_VALUE"""),30.55)</f>
        <v>30.55</v>
      </c>
      <c r="D1435" s="1">
        <f>IFERROR(__xludf.DUMMYFUNCTION("""COMPUTED_VALUE"""),30.09)</f>
        <v>30.09</v>
      </c>
      <c r="E1435" s="1">
        <f>IFERROR(__xludf.DUMMYFUNCTION("""COMPUTED_VALUE"""),30.38)</f>
        <v>30.38</v>
      </c>
      <c r="F1435" s="1">
        <f>IFERROR(__xludf.DUMMYFUNCTION("""COMPUTED_VALUE"""),623038.0)</f>
        <v>623038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IFERROR(__xludf.DUMMYFUNCTION("""COMPUTED_VALUE"""),30.48)</f>
        <v>30.48</v>
      </c>
      <c r="C1436" s="1">
        <f>IFERROR(__xludf.DUMMYFUNCTION("""COMPUTED_VALUE"""),30.89)</f>
        <v>30.89</v>
      </c>
      <c r="D1436" s="1">
        <f>IFERROR(__xludf.DUMMYFUNCTION("""COMPUTED_VALUE"""),30.48)</f>
        <v>30.48</v>
      </c>
      <c r="E1436" s="1">
        <f>IFERROR(__xludf.DUMMYFUNCTION("""COMPUTED_VALUE"""),30.78)</f>
        <v>30.78</v>
      </c>
      <c r="F1436" s="1">
        <f>IFERROR(__xludf.DUMMYFUNCTION("""COMPUTED_VALUE"""),352114.0)</f>
        <v>352114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IFERROR(__xludf.DUMMYFUNCTION("""COMPUTED_VALUE"""),30.75)</f>
        <v>30.75</v>
      </c>
      <c r="C1437" s="1">
        <f>IFERROR(__xludf.DUMMYFUNCTION("""COMPUTED_VALUE"""),30.95)</f>
        <v>30.95</v>
      </c>
      <c r="D1437" s="1">
        <f>IFERROR(__xludf.DUMMYFUNCTION("""COMPUTED_VALUE"""),30.46)</f>
        <v>30.46</v>
      </c>
      <c r="E1437" s="1">
        <f>IFERROR(__xludf.DUMMYFUNCTION("""COMPUTED_VALUE"""),30.93)</f>
        <v>30.93</v>
      </c>
      <c r="F1437" s="1">
        <f>IFERROR(__xludf.DUMMYFUNCTION("""COMPUTED_VALUE"""),354252.0)</f>
        <v>354252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IFERROR(__xludf.DUMMYFUNCTION("""COMPUTED_VALUE"""),30.83)</f>
        <v>30.83</v>
      </c>
      <c r="C1438" s="1">
        <f>IFERROR(__xludf.DUMMYFUNCTION("""COMPUTED_VALUE"""),31.27)</f>
        <v>31.27</v>
      </c>
      <c r="D1438" s="1">
        <f>IFERROR(__xludf.DUMMYFUNCTION("""COMPUTED_VALUE"""),30.14)</f>
        <v>30.14</v>
      </c>
      <c r="E1438" s="1">
        <f>IFERROR(__xludf.DUMMYFUNCTION("""COMPUTED_VALUE"""),30.21)</f>
        <v>30.21</v>
      </c>
      <c r="F1438" s="1">
        <f>IFERROR(__xludf.DUMMYFUNCTION("""COMPUTED_VALUE"""),727982.0)</f>
        <v>727982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IFERROR(__xludf.DUMMYFUNCTION("""COMPUTED_VALUE"""),29.66)</f>
        <v>29.66</v>
      </c>
      <c r="C1439" s="1">
        <f>IFERROR(__xludf.DUMMYFUNCTION("""COMPUTED_VALUE"""),29.82)</f>
        <v>29.82</v>
      </c>
      <c r="D1439" s="1">
        <f>IFERROR(__xludf.DUMMYFUNCTION("""COMPUTED_VALUE"""),29.25)</f>
        <v>29.25</v>
      </c>
      <c r="E1439" s="1">
        <f>IFERROR(__xludf.DUMMYFUNCTION("""COMPUTED_VALUE"""),29.36)</f>
        <v>29.36</v>
      </c>
      <c r="F1439" s="1">
        <f>IFERROR(__xludf.DUMMYFUNCTION("""COMPUTED_VALUE"""),1466831.0)</f>
        <v>1466831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IFERROR(__xludf.DUMMYFUNCTION("""COMPUTED_VALUE"""),29.56)</f>
        <v>29.56</v>
      </c>
      <c r="C1440" s="1">
        <f>IFERROR(__xludf.DUMMYFUNCTION("""COMPUTED_VALUE"""),30.31)</f>
        <v>30.31</v>
      </c>
      <c r="D1440" s="1">
        <f>IFERROR(__xludf.DUMMYFUNCTION("""COMPUTED_VALUE"""),29.53)</f>
        <v>29.53</v>
      </c>
      <c r="E1440" s="1">
        <f>IFERROR(__xludf.DUMMYFUNCTION("""COMPUTED_VALUE"""),30.11)</f>
        <v>30.11</v>
      </c>
      <c r="F1440" s="1">
        <f>IFERROR(__xludf.DUMMYFUNCTION("""COMPUTED_VALUE"""),913513.0)</f>
        <v>913513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IFERROR(__xludf.DUMMYFUNCTION("""COMPUTED_VALUE"""),29.65)</f>
        <v>29.65</v>
      </c>
      <c r="C1441" s="1">
        <f>IFERROR(__xludf.DUMMYFUNCTION("""COMPUTED_VALUE"""),30.1)</f>
        <v>30.1</v>
      </c>
      <c r="D1441" s="1">
        <f>IFERROR(__xludf.DUMMYFUNCTION("""COMPUTED_VALUE"""),29.65)</f>
        <v>29.65</v>
      </c>
      <c r="E1441" s="1">
        <f>IFERROR(__xludf.DUMMYFUNCTION("""COMPUTED_VALUE"""),29.9)</f>
        <v>29.9</v>
      </c>
      <c r="F1441" s="1">
        <f>IFERROR(__xludf.DUMMYFUNCTION("""COMPUTED_VALUE"""),573921.0)</f>
        <v>573921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IFERROR(__xludf.DUMMYFUNCTION("""COMPUTED_VALUE"""),29.97)</f>
        <v>29.97</v>
      </c>
      <c r="C1442" s="1">
        <f>IFERROR(__xludf.DUMMYFUNCTION("""COMPUTED_VALUE"""),30.31)</f>
        <v>30.31</v>
      </c>
      <c r="D1442" s="1">
        <f>IFERROR(__xludf.DUMMYFUNCTION("""COMPUTED_VALUE"""),29.78)</f>
        <v>29.78</v>
      </c>
      <c r="E1442" s="1">
        <f>IFERROR(__xludf.DUMMYFUNCTION("""COMPUTED_VALUE"""),30.03)</f>
        <v>30.03</v>
      </c>
      <c r="F1442" s="1">
        <f>IFERROR(__xludf.DUMMYFUNCTION("""COMPUTED_VALUE"""),415888.0)</f>
        <v>415888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IFERROR(__xludf.DUMMYFUNCTION("""COMPUTED_VALUE"""),29.83)</f>
        <v>29.83</v>
      </c>
      <c r="C1443" s="1">
        <f>IFERROR(__xludf.DUMMYFUNCTION("""COMPUTED_VALUE"""),30.53)</f>
        <v>30.53</v>
      </c>
      <c r="D1443" s="1">
        <f>IFERROR(__xludf.DUMMYFUNCTION("""COMPUTED_VALUE"""),29.75)</f>
        <v>29.75</v>
      </c>
      <c r="E1443" s="1">
        <f>IFERROR(__xludf.DUMMYFUNCTION("""COMPUTED_VALUE"""),30.48)</f>
        <v>30.48</v>
      </c>
      <c r="F1443" s="1">
        <f>IFERROR(__xludf.DUMMYFUNCTION("""COMPUTED_VALUE"""),800423.0)</f>
        <v>800423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IFERROR(__xludf.DUMMYFUNCTION("""COMPUTED_VALUE"""),30.79)</f>
        <v>30.79</v>
      </c>
      <c r="C1444" s="1">
        <f>IFERROR(__xludf.DUMMYFUNCTION("""COMPUTED_VALUE"""),31.06)</f>
        <v>31.06</v>
      </c>
      <c r="D1444" s="1">
        <f>IFERROR(__xludf.DUMMYFUNCTION("""COMPUTED_VALUE"""),30.37)</f>
        <v>30.37</v>
      </c>
      <c r="E1444" s="1">
        <f>IFERROR(__xludf.DUMMYFUNCTION("""COMPUTED_VALUE"""),30.46)</f>
        <v>30.46</v>
      </c>
      <c r="F1444" s="1">
        <f>IFERROR(__xludf.DUMMYFUNCTION("""COMPUTED_VALUE"""),600630.0)</f>
        <v>600630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IFERROR(__xludf.DUMMYFUNCTION("""COMPUTED_VALUE"""),30.24)</f>
        <v>30.24</v>
      </c>
      <c r="C1445" s="1">
        <f>IFERROR(__xludf.DUMMYFUNCTION("""COMPUTED_VALUE"""),30.34)</f>
        <v>30.34</v>
      </c>
      <c r="D1445" s="1">
        <f>IFERROR(__xludf.DUMMYFUNCTION("""COMPUTED_VALUE"""),29.58)</f>
        <v>29.58</v>
      </c>
      <c r="E1445" s="1">
        <f>IFERROR(__xludf.DUMMYFUNCTION("""COMPUTED_VALUE"""),29.69)</f>
        <v>29.69</v>
      </c>
      <c r="F1445" s="1">
        <f>IFERROR(__xludf.DUMMYFUNCTION("""COMPUTED_VALUE"""),877025.0)</f>
        <v>877025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IFERROR(__xludf.DUMMYFUNCTION("""COMPUTED_VALUE"""),29.68)</f>
        <v>29.68</v>
      </c>
      <c r="C1446" s="1">
        <f>IFERROR(__xludf.DUMMYFUNCTION("""COMPUTED_VALUE"""),29.83)</f>
        <v>29.83</v>
      </c>
      <c r="D1446" s="1">
        <f>IFERROR(__xludf.DUMMYFUNCTION("""COMPUTED_VALUE"""),29.48)</f>
        <v>29.48</v>
      </c>
      <c r="E1446" s="1">
        <f>IFERROR(__xludf.DUMMYFUNCTION("""COMPUTED_VALUE"""),29.64)</f>
        <v>29.64</v>
      </c>
      <c r="F1446" s="1">
        <f>IFERROR(__xludf.DUMMYFUNCTION("""COMPUTED_VALUE"""),441858.0)</f>
        <v>441858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IFERROR(__xludf.DUMMYFUNCTION("""COMPUTED_VALUE"""),29.94)</f>
        <v>29.94</v>
      </c>
      <c r="C1447" s="1">
        <f>IFERROR(__xludf.DUMMYFUNCTION("""COMPUTED_VALUE"""),30.05)</f>
        <v>30.05</v>
      </c>
      <c r="D1447" s="1">
        <f>IFERROR(__xludf.DUMMYFUNCTION("""COMPUTED_VALUE"""),29.62)</f>
        <v>29.62</v>
      </c>
      <c r="E1447" s="1">
        <f>IFERROR(__xludf.DUMMYFUNCTION("""COMPUTED_VALUE"""),29.96)</f>
        <v>29.96</v>
      </c>
      <c r="F1447" s="1">
        <f>IFERROR(__xludf.DUMMYFUNCTION("""COMPUTED_VALUE"""),721907.0)</f>
        <v>721907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IFERROR(__xludf.DUMMYFUNCTION("""COMPUTED_VALUE"""),30.08)</f>
        <v>30.08</v>
      </c>
      <c r="C1448" s="1">
        <f>IFERROR(__xludf.DUMMYFUNCTION("""COMPUTED_VALUE"""),30.12)</f>
        <v>30.12</v>
      </c>
      <c r="D1448" s="1">
        <f>IFERROR(__xludf.DUMMYFUNCTION("""COMPUTED_VALUE"""),29.34)</f>
        <v>29.34</v>
      </c>
      <c r="E1448" s="1">
        <f>IFERROR(__xludf.DUMMYFUNCTION("""COMPUTED_VALUE"""),29.84)</f>
        <v>29.84</v>
      </c>
      <c r="F1448" s="1">
        <f>IFERROR(__xludf.DUMMYFUNCTION("""COMPUTED_VALUE"""),605121.0)</f>
        <v>605121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IFERROR(__xludf.DUMMYFUNCTION("""COMPUTED_VALUE"""),29.35)</f>
        <v>29.35</v>
      </c>
      <c r="C1449" s="1">
        <f>IFERROR(__xludf.DUMMYFUNCTION("""COMPUTED_VALUE"""),29.39)</f>
        <v>29.39</v>
      </c>
      <c r="D1449" s="1">
        <f>IFERROR(__xludf.DUMMYFUNCTION("""COMPUTED_VALUE"""),28.29)</f>
        <v>28.29</v>
      </c>
      <c r="E1449" s="1">
        <f>IFERROR(__xludf.DUMMYFUNCTION("""COMPUTED_VALUE"""),29.38)</f>
        <v>29.38</v>
      </c>
      <c r="F1449" s="1">
        <f>IFERROR(__xludf.DUMMYFUNCTION("""COMPUTED_VALUE"""),731219.0)</f>
        <v>731219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IFERROR(__xludf.DUMMYFUNCTION("""COMPUTED_VALUE"""),29.67)</f>
        <v>29.67</v>
      </c>
      <c r="C1450" s="1">
        <f>IFERROR(__xludf.DUMMYFUNCTION("""COMPUTED_VALUE"""),30.23)</f>
        <v>30.23</v>
      </c>
      <c r="D1450" s="1">
        <f>IFERROR(__xludf.DUMMYFUNCTION("""COMPUTED_VALUE"""),28.38)</f>
        <v>28.38</v>
      </c>
      <c r="E1450" s="1">
        <f>IFERROR(__xludf.DUMMYFUNCTION("""COMPUTED_VALUE"""),30.17)</f>
        <v>30.17</v>
      </c>
      <c r="F1450" s="1">
        <f>IFERROR(__xludf.DUMMYFUNCTION("""COMPUTED_VALUE"""),608294.0)</f>
        <v>608294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IFERROR(__xludf.DUMMYFUNCTION("""COMPUTED_VALUE"""),30.19)</f>
        <v>30.19</v>
      </c>
      <c r="C1451" s="1">
        <f>IFERROR(__xludf.DUMMYFUNCTION("""COMPUTED_VALUE"""),30.27)</f>
        <v>30.27</v>
      </c>
      <c r="D1451" s="1">
        <f>IFERROR(__xludf.DUMMYFUNCTION("""COMPUTED_VALUE"""),29.72)</f>
        <v>29.72</v>
      </c>
      <c r="E1451" s="1">
        <f>IFERROR(__xludf.DUMMYFUNCTION("""COMPUTED_VALUE"""),30.06)</f>
        <v>30.06</v>
      </c>
      <c r="F1451" s="1">
        <f>IFERROR(__xludf.DUMMYFUNCTION("""COMPUTED_VALUE"""),557913.0)</f>
        <v>557913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IFERROR(__xludf.DUMMYFUNCTION("""COMPUTED_VALUE"""),30.31)</f>
        <v>30.31</v>
      </c>
      <c r="C1452" s="1">
        <f>IFERROR(__xludf.DUMMYFUNCTION("""COMPUTED_VALUE"""),30.58)</f>
        <v>30.58</v>
      </c>
      <c r="D1452" s="1">
        <f>IFERROR(__xludf.DUMMYFUNCTION("""COMPUTED_VALUE"""),29.99)</f>
        <v>29.99</v>
      </c>
      <c r="E1452" s="1">
        <f>IFERROR(__xludf.DUMMYFUNCTION("""COMPUTED_VALUE"""),30.51)</f>
        <v>30.51</v>
      </c>
      <c r="F1452" s="1">
        <f>IFERROR(__xludf.DUMMYFUNCTION("""COMPUTED_VALUE"""),689917.0)</f>
        <v>689917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IFERROR(__xludf.DUMMYFUNCTION("""COMPUTED_VALUE"""),30.34)</f>
        <v>30.34</v>
      </c>
      <c r="C1453" s="1">
        <f>IFERROR(__xludf.DUMMYFUNCTION("""COMPUTED_VALUE"""),30.8)</f>
        <v>30.8</v>
      </c>
      <c r="D1453" s="1">
        <f>IFERROR(__xludf.DUMMYFUNCTION("""COMPUTED_VALUE"""),30.22)</f>
        <v>30.22</v>
      </c>
      <c r="E1453" s="1">
        <f>IFERROR(__xludf.DUMMYFUNCTION("""COMPUTED_VALUE"""),30.78)</f>
        <v>30.78</v>
      </c>
      <c r="F1453" s="1">
        <f>IFERROR(__xludf.DUMMYFUNCTION("""COMPUTED_VALUE"""),482257.0)</f>
        <v>482257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IFERROR(__xludf.DUMMYFUNCTION("""COMPUTED_VALUE"""),30.83)</f>
        <v>30.83</v>
      </c>
      <c r="C1454" s="1">
        <f>IFERROR(__xludf.DUMMYFUNCTION("""COMPUTED_VALUE"""),30.92)</f>
        <v>30.92</v>
      </c>
      <c r="D1454" s="1">
        <f>IFERROR(__xludf.DUMMYFUNCTION("""COMPUTED_VALUE"""),30.22)</f>
        <v>30.22</v>
      </c>
      <c r="E1454" s="1">
        <f>IFERROR(__xludf.DUMMYFUNCTION("""COMPUTED_VALUE"""),30.4)</f>
        <v>30.4</v>
      </c>
      <c r="F1454" s="1">
        <f>IFERROR(__xludf.DUMMYFUNCTION("""COMPUTED_VALUE"""),420752.0)</f>
        <v>420752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IFERROR(__xludf.DUMMYFUNCTION("""COMPUTED_VALUE"""),30.48)</f>
        <v>30.48</v>
      </c>
      <c r="C1455" s="1">
        <f>IFERROR(__xludf.DUMMYFUNCTION("""COMPUTED_VALUE"""),30.75)</f>
        <v>30.75</v>
      </c>
      <c r="D1455" s="1">
        <f>IFERROR(__xludf.DUMMYFUNCTION("""COMPUTED_VALUE"""),30.16)</f>
        <v>30.16</v>
      </c>
      <c r="E1455" s="1">
        <f>IFERROR(__xludf.DUMMYFUNCTION("""COMPUTED_VALUE"""),30.74)</f>
        <v>30.74</v>
      </c>
      <c r="F1455" s="1">
        <f>IFERROR(__xludf.DUMMYFUNCTION("""COMPUTED_VALUE"""),368264.0)</f>
        <v>368264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IFERROR(__xludf.DUMMYFUNCTION("""COMPUTED_VALUE"""),30.58)</f>
        <v>30.58</v>
      </c>
      <c r="C1456" s="1">
        <f>IFERROR(__xludf.DUMMYFUNCTION("""COMPUTED_VALUE"""),30.85)</f>
        <v>30.85</v>
      </c>
      <c r="D1456" s="1">
        <f>IFERROR(__xludf.DUMMYFUNCTION("""COMPUTED_VALUE"""),30.28)</f>
        <v>30.28</v>
      </c>
      <c r="E1456" s="1">
        <f>IFERROR(__xludf.DUMMYFUNCTION("""COMPUTED_VALUE"""),30.33)</f>
        <v>30.33</v>
      </c>
      <c r="F1456" s="1">
        <f>IFERROR(__xludf.DUMMYFUNCTION("""COMPUTED_VALUE"""),437470.0)</f>
        <v>437470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IFERROR(__xludf.DUMMYFUNCTION("""COMPUTED_VALUE"""),30.23)</f>
        <v>30.23</v>
      </c>
      <c r="C1457" s="1">
        <f>IFERROR(__xludf.DUMMYFUNCTION("""COMPUTED_VALUE"""),30.33)</f>
        <v>30.33</v>
      </c>
      <c r="D1457" s="1">
        <f>IFERROR(__xludf.DUMMYFUNCTION("""COMPUTED_VALUE"""),29.25)</f>
        <v>29.25</v>
      </c>
      <c r="E1457" s="1">
        <f>IFERROR(__xludf.DUMMYFUNCTION("""COMPUTED_VALUE"""),29.36)</f>
        <v>29.36</v>
      </c>
      <c r="F1457" s="1">
        <f>IFERROR(__xludf.DUMMYFUNCTION("""COMPUTED_VALUE"""),482110.0)</f>
        <v>482110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IFERROR(__xludf.DUMMYFUNCTION("""COMPUTED_VALUE"""),29.62)</f>
        <v>29.62</v>
      </c>
      <c r="C1458" s="1">
        <f>IFERROR(__xludf.DUMMYFUNCTION("""COMPUTED_VALUE"""),29.83)</f>
        <v>29.83</v>
      </c>
      <c r="D1458" s="1">
        <f>IFERROR(__xludf.DUMMYFUNCTION("""COMPUTED_VALUE"""),29.11)</f>
        <v>29.11</v>
      </c>
      <c r="E1458" s="1">
        <f>IFERROR(__xludf.DUMMYFUNCTION("""COMPUTED_VALUE"""),29.82)</f>
        <v>29.82</v>
      </c>
      <c r="F1458" s="1">
        <f>IFERROR(__xludf.DUMMYFUNCTION("""COMPUTED_VALUE"""),880168.0)</f>
        <v>880168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IFERROR(__xludf.DUMMYFUNCTION("""COMPUTED_VALUE"""),29.95)</f>
        <v>29.95</v>
      </c>
      <c r="C1459" s="1">
        <f>IFERROR(__xludf.DUMMYFUNCTION("""COMPUTED_VALUE"""),30.0)</f>
        <v>30</v>
      </c>
      <c r="D1459" s="1">
        <f>IFERROR(__xludf.DUMMYFUNCTION("""COMPUTED_VALUE"""),29.47)</f>
        <v>29.47</v>
      </c>
      <c r="E1459" s="1">
        <f>IFERROR(__xludf.DUMMYFUNCTION("""COMPUTED_VALUE"""),29.78)</f>
        <v>29.78</v>
      </c>
      <c r="F1459" s="1">
        <f>IFERROR(__xludf.DUMMYFUNCTION("""COMPUTED_VALUE"""),446815.0)</f>
        <v>446815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IFERROR(__xludf.DUMMYFUNCTION("""COMPUTED_VALUE"""),29.66)</f>
        <v>29.66</v>
      </c>
      <c r="C1460" s="1">
        <f>IFERROR(__xludf.DUMMYFUNCTION("""COMPUTED_VALUE"""),29.89)</f>
        <v>29.89</v>
      </c>
      <c r="D1460" s="1">
        <f>IFERROR(__xludf.DUMMYFUNCTION("""COMPUTED_VALUE"""),29.51)</f>
        <v>29.51</v>
      </c>
      <c r="E1460" s="1">
        <f>IFERROR(__xludf.DUMMYFUNCTION("""COMPUTED_VALUE"""),29.86)</f>
        <v>29.86</v>
      </c>
      <c r="F1460" s="1">
        <f>IFERROR(__xludf.DUMMYFUNCTION("""COMPUTED_VALUE"""),603463.0)</f>
        <v>603463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IFERROR(__xludf.DUMMYFUNCTION("""COMPUTED_VALUE"""),30.04)</f>
        <v>30.04</v>
      </c>
      <c r="C1461" s="1">
        <f>IFERROR(__xludf.DUMMYFUNCTION("""COMPUTED_VALUE"""),30.22)</f>
        <v>30.22</v>
      </c>
      <c r="D1461" s="1">
        <f>IFERROR(__xludf.DUMMYFUNCTION("""COMPUTED_VALUE"""),29.82)</f>
        <v>29.82</v>
      </c>
      <c r="E1461" s="1">
        <f>IFERROR(__xludf.DUMMYFUNCTION("""COMPUTED_VALUE"""),30.07)</f>
        <v>30.07</v>
      </c>
      <c r="F1461" s="1">
        <f>IFERROR(__xludf.DUMMYFUNCTION("""COMPUTED_VALUE"""),287469.0)</f>
        <v>287469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IFERROR(__xludf.DUMMYFUNCTION("""COMPUTED_VALUE"""),30.59)</f>
        <v>30.59</v>
      </c>
      <c r="C1462" s="1">
        <f>IFERROR(__xludf.DUMMYFUNCTION("""COMPUTED_VALUE"""),30.88)</f>
        <v>30.88</v>
      </c>
      <c r="D1462" s="1">
        <f>IFERROR(__xludf.DUMMYFUNCTION("""COMPUTED_VALUE"""),29.76)</f>
        <v>29.76</v>
      </c>
      <c r="E1462" s="1">
        <f>IFERROR(__xludf.DUMMYFUNCTION("""COMPUTED_VALUE"""),29.84)</f>
        <v>29.84</v>
      </c>
      <c r="F1462" s="1">
        <f>IFERROR(__xludf.DUMMYFUNCTION("""COMPUTED_VALUE"""),665233.0)</f>
        <v>665233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IFERROR(__xludf.DUMMYFUNCTION("""COMPUTED_VALUE"""),29.96)</f>
        <v>29.96</v>
      </c>
      <c r="C1463" s="1">
        <f>IFERROR(__xludf.DUMMYFUNCTION("""COMPUTED_VALUE"""),30.83)</f>
        <v>30.83</v>
      </c>
      <c r="D1463" s="1">
        <f>IFERROR(__xludf.DUMMYFUNCTION("""COMPUTED_VALUE"""),29.84)</f>
        <v>29.84</v>
      </c>
      <c r="E1463" s="1">
        <f>IFERROR(__xludf.DUMMYFUNCTION("""COMPUTED_VALUE"""),30.69)</f>
        <v>30.69</v>
      </c>
      <c r="F1463" s="1">
        <f>IFERROR(__xludf.DUMMYFUNCTION("""COMPUTED_VALUE"""),776833.0)</f>
        <v>776833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IFERROR(__xludf.DUMMYFUNCTION("""COMPUTED_VALUE"""),30.91)</f>
        <v>30.91</v>
      </c>
      <c r="C1464" s="1">
        <f>IFERROR(__xludf.DUMMYFUNCTION("""COMPUTED_VALUE"""),31.62)</f>
        <v>31.62</v>
      </c>
      <c r="D1464" s="1">
        <f>IFERROR(__xludf.DUMMYFUNCTION("""COMPUTED_VALUE"""),30.81)</f>
        <v>30.81</v>
      </c>
      <c r="E1464" s="1">
        <f>IFERROR(__xludf.DUMMYFUNCTION("""COMPUTED_VALUE"""),31.54)</f>
        <v>31.54</v>
      </c>
      <c r="F1464" s="1">
        <f>IFERROR(__xludf.DUMMYFUNCTION("""COMPUTED_VALUE"""),539393.0)</f>
        <v>539393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IFERROR(__xludf.DUMMYFUNCTION("""COMPUTED_VALUE"""),31.38)</f>
        <v>31.38</v>
      </c>
      <c r="C1465" s="1">
        <f>IFERROR(__xludf.DUMMYFUNCTION("""COMPUTED_VALUE"""),31.52)</f>
        <v>31.52</v>
      </c>
      <c r="D1465" s="1">
        <f>IFERROR(__xludf.DUMMYFUNCTION("""COMPUTED_VALUE"""),30.92)</f>
        <v>30.92</v>
      </c>
      <c r="E1465" s="1">
        <f>IFERROR(__xludf.DUMMYFUNCTION("""COMPUTED_VALUE"""),31.24)</f>
        <v>31.24</v>
      </c>
      <c r="F1465" s="1">
        <f>IFERROR(__xludf.DUMMYFUNCTION("""COMPUTED_VALUE"""),340757.0)</f>
        <v>340757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IFERROR(__xludf.DUMMYFUNCTION("""COMPUTED_VALUE"""),31.0)</f>
        <v>31</v>
      </c>
      <c r="C1466" s="1">
        <f>IFERROR(__xludf.DUMMYFUNCTION("""COMPUTED_VALUE"""),31.32)</f>
        <v>31.32</v>
      </c>
      <c r="D1466" s="1">
        <f>IFERROR(__xludf.DUMMYFUNCTION("""COMPUTED_VALUE"""),30.64)</f>
        <v>30.64</v>
      </c>
      <c r="E1466" s="1">
        <f>IFERROR(__xludf.DUMMYFUNCTION("""COMPUTED_VALUE"""),30.84)</f>
        <v>30.84</v>
      </c>
      <c r="F1466" s="1">
        <f>IFERROR(__xludf.DUMMYFUNCTION("""COMPUTED_VALUE"""),376807.0)</f>
        <v>376807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IFERROR(__xludf.DUMMYFUNCTION("""COMPUTED_VALUE"""),30.93)</f>
        <v>30.93</v>
      </c>
      <c r="C1467" s="1">
        <f>IFERROR(__xludf.DUMMYFUNCTION("""COMPUTED_VALUE"""),32.32)</f>
        <v>32.32</v>
      </c>
      <c r="D1467" s="1">
        <f>IFERROR(__xludf.DUMMYFUNCTION("""COMPUTED_VALUE"""),30.93)</f>
        <v>30.93</v>
      </c>
      <c r="E1467" s="1">
        <f>IFERROR(__xludf.DUMMYFUNCTION("""COMPUTED_VALUE"""),32.31)</f>
        <v>32.31</v>
      </c>
      <c r="F1467" s="1">
        <f>IFERROR(__xludf.DUMMYFUNCTION("""COMPUTED_VALUE"""),726281.0)</f>
        <v>726281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IFERROR(__xludf.DUMMYFUNCTION("""COMPUTED_VALUE"""),32.27)</f>
        <v>32.27</v>
      </c>
      <c r="C1468" s="1">
        <f>IFERROR(__xludf.DUMMYFUNCTION("""COMPUTED_VALUE"""),32.59)</f>
        <v>32.59</v>
      </c>
      <c r="D1468" s="1">
        <f>IFERROR(__xludf.DUMMYFUNCTION("""COMPUTED_VALUE"""),32.0)</f>
        <v>32</v>
      </c>
      <c r="E1468" s="1">
        <f>IFERROR(__xludf.DUMMYFUNCTION("""COMPUTED_VALUE"""),32.15)</f>
        <v>32.15</v>
      </c>
      <c r="F1468" s="1">
        <f>IFERROR(__xludf.DUMMYFUNCTION("""COMPUTED_VALUE"""),372866.0)</f>
        <v>372866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IFERROR(__xludf.DUMMYFUNCTION("""COMPUTED_VALUE"""),32.2)</f>
        <v>32.2</v>
      </c>
      <c r="C1469" s="1">
        <f>IFERROR(__xludf.DUMMYFUNCTION("""COMPUTED_VALUE"""),32.37)</f>
        <v>32.37</v>
      </c>
      <c r="D1469" s="1">
        <f>IFERROR(__xludf.DUMMYFUNCTION("""COMPUTED_VALUE"""),31.1)</f>
        <v>31.1</v>
      </c>
      <c r="E1469" s="1">
        <f>IFERROR(__xludf.DUMMYFUNCTION("""COMPUTED_VALUE"""),31.3)</f>
        <v>31.3</v>
      </c>
      <c r="F1469" s="1">
        <f>IFERROR(__xludf.DUMMYFUNCTION("""COMPUTED_VALUE"""),467719.0)</f>
        <v>467719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IFERROR(__xludf.DUMMYFUNCTION("""COMPUTED_VALUE"""),31.47)</f>
        <v>31.47</v>
      </c>
      <c r="C1470" s="1">
        <f>IFERROR(__xludf.DUMMYFUNCTION("""COMPUTED_VALUE"""),32.07)</f>
        <v>32.07</v>
      </c>
      <c r="D1470" s="1">
        <f>IFERROR(__xludf.DUMMYFUNCTION("""COMPUTED_VALUE"""),31.35)</f>
        <v>31.35</v>
      </c>
      <c r="E1470" s="1">
        <f>IFERROR(__xludf.DUMMYFUNCTION("""COMPUTED_VALUE"""),31.96)</f>
        <v>31.96</v>
      </c>
      <c r="F1470" s="1">
        <f>IFERROR(__xludf.DUMMYFUNCTION("""COMPUTED_VALUE"""),342432.0)</f>
        <v>342432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IFERROR(__xludf.DUMMYFUNCTION("""COMPUTED_VALUE"""),31.79)</f>
        <v>31.79</v>
      </c>
      <c r="C1471" s="1">
        <f>IFERROR(__xludf.DUMMYFUNCTION("""COMPUTED_VALUE"""),32.24)</f>
        <v>32.24</v>
      </c>
      <c r="D1471" s="1">
        <f>IFERROR(__xludf.DUMMYFUNCTION("""COMPUTED_VALUE"""),31.58)</f>
        <v>31.58</v>
      </c>
      <c r="E1471" s="1">
        <f>IFERROR(__xludf.DUMMYFUNCTION("""COMPUTED_VALUE"""),32.1)</f>
        <v>32.1</v>
      </c>
      <c r="F1471" s="1">
        <f>IFERROR(__xludf.DUMMYFUNCTION("""COMPUTED_VALUE"""),320337.0)</f>
        <v>320337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IFERROR(__xludf.DUMMYFUNCTION("""COMPUTED_VALUE"""),32.12)</f>
        <v>32.12</v>
      </c>
      <c r="C1472" s="1">
        <f>IFERROR(__xludf.DUMMYFUNCTION("""COMPUTED_VALUE"""),32.45)</f>
        <v>32.45</v>
      </c>
      <c r="D1472" s="1">
        <f>IFERROR(__xludf.DUMMYFUNCTION("""COMPUTED_VALUE"""),31.91)</f>
        <v>31.91</v>
      </c>
      <c r="E1472" s="1">
        <f>IFERROR(__xludf.DUMMYFUNCTION("""COMPUTED_VALUE"""),32.37)</f>
        <v>32.37</v>
      </c>
      <c r="F1472" s="1">
        <f>IFERROR(__xludf.DUMMYFUNCTION("""COMPUTED_VALUE"""),314968.0)</f>
        <v>314968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IFERROR(__xludf.DUMMYFUNCTION("""COMPUTED_VALUE"""),32.5)</f>
        <v>32.5</v>
      </c>
      <c r="C1473" s="1">
        <f>IFERROR(__xludf.DUMMYFUNCTION("""COMPUTED_VALUE"""),33.24)</f>
        <v>33.24</v>
      </c>
      <c r="D1473" s="1">
        <f>IFERROR(__xludf.DUMMYFUNCTION("""COMPUTED_VALUE"""),32.46)</f>
        <v>32.46</v>
      </c>
      <c r="E1473" s="1">
        <f>IFERROR(__xludf.DUMMYFUNCTION("""COMPUTED_VALUE"""),33.08)</f>
        <v>33.08</v>
      </c>
      <c r="F1473" s="1">
        <f>IFERROR(__xludf.DUMMYFUNCTION("""COMPUTED_VALUE"""),490411.0)</f>
        <v>490411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IFERROR(__xludf.DUMMYFUNCTION("""COMPUTED_VALUE"""),33.44)</f>
        <v>33.44</v>
      </c>
      <c r="C1474" s="1">
        <f>IFERROR(__xludf.DUMMYFUNCTION("""COMPUTED_VALUE"""),34.48)</f>
        <v>34.48</v>
      </c>
      <c r="D1474" s="1">
        <f>IFERROR(__xludf.DUMMYFUNCTION("""COMPUTED_VALUE"""),33.44)</f>
        <v>33.44</v>
      </c>
      <c r="E1474" s="1">
        <f>IFERROR(__xludf.DUMMYFUNCTION("""COMPUTED_VALUE"""),34.3)</f>
        <v>34.3</v>
      </c>
      <c r="F1474" s="1">
        <f>IFERROR(__xludf.DUMMYFUNCTION("""COMPUTED_VALUE"""),716132.0)</f>
        <v>716132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IFERROR(__xludf.DUMMYFUNCTION("""COMPUTED_VALUE"""),34.5)</f>
        <v>34.5</v>
      </c>
      <c r="C1475" s="1">
        <f>IFERROR(__xludf.DUMMYFUNCTION("""COMPUTED_VALUE"""),34.54)</f>
        <v>34.54</v>
      </c>
      <c r="D1475" s="1">
        <f>IFERROR(__xludf.DUMMYFUNCTION("""COMPUTED_VALUE"""),33.77)</f>
        <v>33.77</v>
      </c>
      <c r="E1475" s="1">
        <f>IFERROR(__xludf.DUMMYFUNCTION("""COMPUTED_VALUE"""),34.08)</f>
        <v>34.08</v>
      </c>
      <c r="F1475" s="1">
        <f>IFERROR(__xludf.DUMMYFUNCTION("""COMPUTED_VALUE"""),393335.0)</f>
        <v>393335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IFERROR(__xludf.DUMMYFUNCTION("""COMPUTED_VALUE"""),33.9)</f>
        <v>33.9</v>
      </c>
      <c r="C1476" s="1">
        <f>IFERROR(__xludf.DUMMYFUNCTION("""COMPUTED_VALUE"""),34.34)</f>
        <v>34.34</v>
      </c>
      <c r="D1476" s="1">
        <f>IFERROR(__xludf.DUMMYFUNCTION("""COMPUTED_VALUE"""),33.65)</f>
        <v>33.65</v>
      </c>
      <c r="E1476" s="1">
        <f>IFERROR(__xludf.DUMMYFUNCTION("""COMPUTED_VALUE"""),33.87)</f>
        <v>33.87</v>
      </c>
      <c r="F1476" s="1">
        <f>IFERROR(__xludf.DUMMYFUNCTION("""COMPUTED_VALUE"""),552733.0)</f>
        <v>552733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IFERROR(__xludf.DUMMYFUNCTION("""COMPUTED_VALUE"""),34.14)</f>
        <v>34.14</v>
      </c>
      <c r="C1477" s="1">
        <f>IFERROR(__xludf.DUMMYFUNCTION("""COMPUTED_VALUE"""),34.26)</f>
        <v>34.26</v>
      </c>
      <c r="D1477" s="1">
        <f>IFERROR(__xludf.DUMMYFUNCTION("""COMPUTED_VALUE"""),33.51)</f>
        <v>33.51</v>
      </c>
      <c r="E1477" s="1">
        <f>IFERROR(__xludf.DUMMYFUNCTION("""COMPUTED_VALUE"""),33.61)</f>
        <v>33.61</v>
      </c>
      <c r="F1477" s="1">
        <f>IFERROR(__xludf.DUMMYFUNCTION("""COMPUTED_VALUE"""),342737.0)</f>
        <v>342737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IFERROR(__xludf.DUMMYFUNCTION("""COMPUTED_VALUE"""),33.28)</f>
        <v>33.28</v>
      </c>
      <c r="C1478" s="1">
        <f>IFERROR(__xludf.DUMMYFUNCTION("""COMPUTED_VALUE"""),33.47)</f>
        <v>33.47</v>
      </c>
      <c r="D1478" s="1">
        <f>IFERROR(__xludf.DUMMYFUNCTION("""COMPUTED_VALUE"""),33.07)</f>
        <v>33.07</v>
      </c>
      <c r="E1478" s="1">
        <f>IFERROR(__xludf.DUMMYFUNCTION("""COMPUTED_VALUE"""),33.12)</f>
        <v>33.12</v>
      </c>
      <c r="F1478" s="1">
        <f>IFERROR(__xludf.DUMMYFUNCTION("""COMPUTED_VALUE"""),499745.0)</f>
        <v>499745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IFERROR(__xludf.DUMMYFUNCTION("""COMPUTED_VALUE"""),32.86)</f>
        <v>32.86</v>
      </c>
      <c r="C1479" s="1">
        <f>IFERROR(__xludf.DUMMYFUNCTION("""COMPUTED_VALUE"""),33.44)</f>
        <v>33.44</v>
      </c>
      <c r="D1479" s="1">
        <f>IFERROR(__xludf.DUMMYFUNCTION("""COMPUTED_VALUE"""),32.76)</f>
        <v>32.76</v>
      </c>
      <c r="E1479" s="1">
        <f>IFERROR(__xludf.DUMMYFUNCTION("""COMPUTED_VALUE"""),32.93)</f>
        <v>32.93</v>
      </c>
      <c r="F1479" s="1">
        <f>IFERROR(__xludf.DUMMYFUNCTION("""COMPUTED_VALUE"""),517852.0)</f>
        <v>517852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IFERROR(__xludf.DUMMYFUNCTION("""COMPUTED_VALUE"""),32.76)</f>
        <v>32.76</v>
      </c>
      <c r="C1480" s="1">
        <f>IFERROR(__xludf.DUMMYFUNCTION("""COMPUTED_VALUE"""),33.37)</f>
        <v>33.37</v>
      </c>
      <c r="D1480" s="1">
        <f>IFERROR(__xludf.DUMMYFUNCTION("""COMPUTED_VALUE"""),32.44)</f>
        <v>32.44</v>
      </c>
      <c r="E1480" s="1">
        <f>IFERROR(__xludf.DUMMYFUNCTION("""COMPUTED_VALUE"""),33.35)</f>
        <v>33.35</v>
      </c>
      <c r="F1480" s="1">
        <f>IFERROR(__xludf.DUMMYFUNCTION("""COMPUTED_VALUE"""),363762.0)</f>
        <v>363762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IFERROR(__xludf.DUMMYFUNCTION("""COMPUTED_VALUE"""),33.53)</f>
        <v>33.53</v>
      </c>
      <c r="C1481" s="1">
        <f>IFERROR(__xludf.DUMMYFUNCTION("""COMPUTED_VALUE"""),33.89)</f>
        <v>33.89</v>
      </c>
      <c r="D1481" s="1">
        <f>IFERROR(__xludf.DUMMYFUNCTION("""COMPUTED_VALUE"""),33.08)</f>
        <v>33.08</v>
      </c>
      <c r="E1481" s="1">
        <f>IFERROR(__xludf.DUMMYFUNCTION("""COMPUTED_VALUE"""),33.54)</f>
        <v>33.54</v>
      </c>
      <c r="F1481" s="1">
        <f>IFERROR(__xludf.DUMMYFUNCTION("""COMPUTED_VALUE"""),346159.0)</f>
        <v>346159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IFERROR(__xludf.DUMMYFUNCTION("""COMPUTED_VALUE"""),33.54)</f>
        <v>33.54</v>
      </c>
      <c r="C1482" s="1">
        <f>IFERROR(__xludf.DUMMYFUNCTION("""COMPUTED_VALUE"""),34.14)</f>
        <v>34.14</v>
      </c>
      <c r="D1482" s="1">
        <f>IFERROR(__xludf.DUMMYFUNCTION("""COMPUTED_VALUE"""),33.18)</f>
        <v>33.18</v>
      </c>
      <c r="E1482" s="1">
        <f>IFERROR(__xludf.DUMMYFUNCTION("""COMPUTED_VALUE"""),34.11)</f>
        <v>34.11</v>
      </c>
      <c r="F1482" s="1">
        <f>IFERROR(__xludf.DUMMYFUNCTION("""COMPUTED_VALUE"""),412237.0)</f>
        <v>412237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IFERROR(__xludf.DUMMYFUNCTION("""COMPUTED_VALUE"""),33.98)</f>
        <v>33.98</v>
      </c>
      <c r="C1483" s="1">
        <f>IFERROR(__xludf.DUMMYFUNCTION("""COMPUTED_VALUE"""),34.22)</f>
        <v>34.22</v>
      </c>
      <c r="D1483" s="1">
        <f>IFERROR(__xludf.DUMMYFUNCTION("""COMPUTED_VALUE"""),33.66)</f>
        <v>33.66</v>
      </c>
      <c r="E1483" s="1">
        <f>IFERROR(__xludf.DUMMYFUNCTION("""COMPUTED_VALUE"""),33.94)</f>
        <v>33.94</v>
      </c>
      <c r="F1483" s="1">
        <f>IFERROR(__xludf.DUMMYFUNCTION("""COMPUTED_VALUE"""),371620.0)</f>
        <v>371620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IFERROR(__xludf.DUMMYFUNCTION("""COMPUTED_VALUE"""),34.16)</f>
        <v>34.16</v>
      </c>
      <c r="C1484" s="1">
        <f>IFERROR(__xludf.DUMMYFUNCTION("""COMPUTED_VALUE"""),34.61)</f>
        <v>34.61</v>
      </c>
      <c r="D1484" s="1">
        <f>IFERROR(__xludf.DUMMYFUNCTION("""COMPUTED_VALUE"""),34.12)</f>
        <v>34.12</v>
      </c>
      <c r="E1484" s="1">
        <f>IFERROR(__xludf.DUMMYFUNCTION("""COMPUTED_VALUE"""),34.33)</f>
        <v>34.33</v>
      </c>
      <c r="F1484" s="1">
        <f>IFERROR(__xludf.DUMMYFUNCTION("""COMPUTED_VALUE"""),462671.0)</f>
        <v>462671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IFERROR(__xludf.DUMMYFUNCTION("""COMPUTED_VALUE"""),34.25)</f>
        <v>34.25</v>
      </c>
      <c r="C1485" s="1">
        <f>IFERROR(__xludf.DUMMYFUNCTION("""COMPUTED_VALUE"""),34.69)</f>
        <v>34.69</v>
      </c>
      <c r="D1485" s="1">
        <f>IFERROR(__xludf.DUMMYFUNCTION("""COMPUTED_VALUE"""),34.18)</f>
        <v>34.18</v>
      </c>
      <c r="E1485" s="1">
        <f>IFERROR(__xludf.DUMMYFUNCTION("""COMPUTED_VALUE"""),34.46)</f>
        <v>34.46</v>
      </c>
      <c r="F1485" s="1">
        <f>IFERROR(__xludf.DUMMYFUNCTION("""COMPUTED_VALUE"""),276688.0)</f>
        <v>276688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IFERROR(__xludf.DUMMYFUNCTION("""COMPUTED_VALUE"""),34.19)</f>
        <v>34.19</v>
      </c>
      <c r="C1486" s="1">
        <f>IFERROR(__xludf.DUMMYFUNCTION("""COMPUTED_VALUE"""),34.66)</f>
        <v>34.66</v>
      </c>
      <c r="D1486" s="1">
        <f>IFERROR(__xludf.DUMMYFUNCTION("""COMPUTED_VALUE"""),34.0)</f>
        <v>34</v>
      </c>
      <c r="E1486" s="1">
        <f>IFERROR(__xludf.DUMMYFUNCTION("""COMPUTED_VALUE"""),34.5)</f>
        <v>34.5</v>
      </c>
      <c r="F1486" s="1">
        <f>IFERROR(__xludf.DUMMYFUNCTION("""COMPUTED_VALUE"""),427324.0)</f>
        <v>427324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IFERROR(__xludf.DUMMYFUNCTION("""COMPUTED_VALUE"""),34.47)</f>
        <v>34.47</v>
      </c>
      <c r="C1487" s="1">
        <f>IFERROR(__xludf.DUMMYFUNCTION("""COMPUTED_VALUE"""),34.68)</f>
        <v>34.68</v>
      </c>
      <c r="D1487" s="1">
        <f>IFERROR(__xludf.DUMMYFUNCTION("""COMPUTED_VALUE"""),34.15)</f>
        <v>34.15</v>
      </c>
      <c r="E1487" s="1">
        <f>IFERROR(__xludf.DUMMYFUNCTION("""COMPUTED_VALUE"""),34.47)</f>
        <v>34.47</v>
      </c>
      <c r="F1487" s="1">
        <f>IFERROR(__xludf.DUMMYFUNCTION("""COMPUTED_VALUE"""),344316.0)</f>
        <v>344316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IFERROR(__xludf.DUMMYFUNCTION("""COMPUTED_VALUE"""),34.42)</f>
        <v>34.42</v>
      </c>
      <c r="C1488" s="1">
        <f>IFERROR(__xludf.DUMMYFUNCTION("""COMPUTED_VALUE"""),34.57)</f>
        <v>34.57</v>
      </c>
      <c r="D1488" s="1">
        <f>IFERROR(__xludf.DUMMYFUNCTION("""COMPUTED_VALUE"""),34.12)</f>
        <v>34.12</v>
      </c>
      <c r="E1488" s="1">
        <f>IFERROR(__xludf.DUMMYFUNCTION("""COMPUTED_VALUE"""),34.52)</f>
        <v>34.52</v>
      </c>
      <c r="F1488" s="1">
        <f>IFERROR(__xludf.DUMMYFUNCTION("""COMPUTED_VALUE"""),154698.0)</f>
        <v>154698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IFERROR(__xludf.DUMMYFUNCTION("""COMPUTED_VALUE"""),34.5)</f>
        <v>34.5</v>
      </c>
      <c r="C1489" s="1">
        <f>IFERROR(__xludf.DUMMYFUNCTION("""COMPUTED_VALUE"""),34.58)</f>
        <v>34.58</v>
      </c>
      <c r="D1489" s="1">
        <f>IFERROR(__xludf.DUMMYFUNCTION("""COMPUTED_VALUE"""),34.15)</f>
        <v>34.15</v>
      </c>
      <c r="E1489" s="1">
        <f>IFERROR(__xludf.DUMMYFUNCTION("""COMPUTED_VALUE"""),34.32)</f>
        <v>34.32</v>
      </c>
      <c r="F1489" s="1">
        <f>IFERROR(__xludf.DUMMYFUNCTION("""COMPUTED_VALUE"""),334430.0)</f>
        <v>334430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IFERROR(__xludf.DUMMYFUNCTION("""COMPUTED_VALUE"""),34.46)</f>
        <v>34.46</v>
      </c>
      <c r="C1490" s="1">
        <f>IFERROR(__xludf.DUMMYFUNCTION("""COMPUTED_VALUE"""),34.64)</f>
        <v>34.64</v>
      </c>
      <c r="D1490" s="1">
        <f>IFERROR(__xludf.DUMMYFUNCTION("""COMPUTED_VALUE"""),34.1)</f>
        <v>34.1</v>
      </c>
      <c r="E1490" s="1">
        <f>IFERROR(__xludf.DUMMYFUNCTION("""COMPUTED_VALUE"""),34.42)</f>
        <v>34.42</v>
      </c>
      <c r="F1490" s="1">
        <f>IFERROR(__xludf.DUMMYFUNCTION("""COMPUTED_VALUE"""),320149.0)</f>
        <v>320149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IFERROR(__xludf.DUMMYFUNCTION("""COMPUTED_VALUE"""),34.57)</f>
        <v>34.57</v>
      </c>
      <c r="C1491" s="1">
        <f>IFERROR(__xludf.DUMMYFUNCTION("""COMPUTED_VALUE"""),34.57)</f>
        <v>34.57</v>
      </c>
      <c r="D1491" s="1">
        <f>IFERROR(__xludf.DUMMYFUNCTION("""COMPUTED_VALUE"""),33.58)</f>
        <v>33.58</v>
      </c>
      <c r="E1491" s="1">
        <f>IFERROR(__xludf.DUMMYFUNCTION("""COMPUTED_VALUE"""),33.62)</f>
        <v>33.62</v>
      </c>
      <c r="F1491" s="1">
        <f>IFERROR(__xludf.DUMMYFUNCTION("""COMPUTED_VALUE"""),387117.0)</f>
        <v>387117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IFERROR(__xludf.DUMMYFUNCTION("""COMPUTED_VALUE"""),33.96)</f>
        <v>33.96</v>
      </c>
      <c r="C1492" s="1">
        <f>IFERROR(__xludf.DUMMYFUNCTION("""COMPUTED_VALUE"""),34.02)</f>
        <v>34.02</v>
      </c>
      <c r="D1492" s="1">
        <f>IFERROR(__xludf.DUMMYFUNCTION("""COMPUTED_VALUE"""),32.98)</f>
        <v>32.98</v>
      </c>
      <c r="E1492" s="1">
        <f>IFERROR(__xludf.DUMMYFUNCTION("""COMPUTED_VALUE"""),33.06)</f>
        <v>33.06</v>
      </c>
      <c r="F1492" s="1">
        <f>IFERROR(__xludf.DUMMYFUNCTION("""COMPUTED_VALUE"""),522514.0)</f>
        <v>522514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IFERROR(__xludf.DUMMYFUNCTION("""COMPUTED_VALUE"""),33.13)</f>
        <v>33.13</v>
      </c>
      <c r="C1493" s="1">
        <f>IFERROR(__xludf.DUMMYFUNCTION("""COMPUTED_VALUE"""),33.76)</f>
        <v>33.76</v>
      </c>
      <c r="D1493" s="1">
        <f>IFERROR(__xludf.DUMMYFUNCTION("""COMPUTED_VALUE"""),33.0)</f>
        <v>33</v>
      </c>
      <c r="E1493" s="1">
        <f>IFERROR(__xludf.DUMMYFUNCTION("""COMPUTED_VALUE"""),33.71)</f>
        <v>33.71</v>
      </c>
      <c r="F1493" s="1">
        <f>IFERROR(__xludf.DUMMYFUNCTION("""COMPUTED_VALUE"""),369476.0)</f>
        <v>369476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IFERROR(__xludf.DUMMYFUNCTION("""COMPUTED_VALUE"""),33.72)</f>
        <v>33.72</v>
      </c>
      <c r="C1494" s="1">
        <f>IFERROR(__xludf.DUMMYFUNCTION("""COMPUTED_VALUE"""),33.81)</f>
        <v>33.81</v>
      </c>
      <c r="D1494" s="1">
        <f>IFERROR(__xludf.DUMMYFUNCTION("""COMPUTED_VALUE"""),32.75)</f>
        <v>32.75</v>
      </c>
      <c r="E1494" s="1">
        <f>IFERROR(__xludf.DUMMYFUNCTION("""COMPUTED_VALUE"""),33.04)</f>
        <v>33.04</v>
      </c>
      <c r="F1494" s="1">
        <f>IFERROR(__xludf.DUMMYFUNCTION("""COMPUTED_VALUE"""),413300.0)</f>
        <v>413300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IFERROR(__xludf.DUMMYFUNCTION("""COMPUTED_VALUE"""),32.75)</f>
        <v>32.75</v>
      </c>
      <c r="C1495" s="1">
        <f>IFERROR(__xludf.DUMMYFUNCTION("""COMPUTED_VALUE"""),33.03)</f>
        <v>33.03</v>
      </c>
      <c r="D1495" s="1">
        <f>IFERROR(__xludf.DUMMYFUNCTION("""COMPUTED_VALUE"""),32.34)</f>
        <v>32.34</v>
      </c>
      <c r="E1495" s="1">
        <f>IFERROR(__xludf.DUMMYFUNCTION("""COMPUTED_VALUE"""),32.43)</f>
        <v>32.43</v>
      </c>
      <c r="F1495" s="1">
        <f>IFERROR(__xludf.DUMMYFUNCTION("""COMPUTED_VALUE"""),405989.0)</f>
        <v>405989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IFERROR(__xludf.DUMMYFUNCTION("""COMPUTED_VALUE"""),32.26)</f>
        <v>32.26</v>
      </c>
      <c r="C1496" s="1">
        <f>IFERROR(__xludf.DUMMYFUNCTION("""COMPUTED_VALUE"""),32.67)</f>
        <v>32.67</v>
      </c>
      <c r="D1496" s="1">
        <f>IFERROR(__xludf.DUMMYFUNCTION("""COMPUTED_VALUE"""),31.45)</f>
        <v>31.45</v>
      </c>
      <c r="E1496" s="1">
        <f>IFERROR(__xludf.DUMMYFUNCTION("""COMPUTED_VALUE"""),31.64)</f>
        <v>31.64</v>
      </c>
      <c r="F1496" s="1">
        <f>IFERROR(__xludf.DUMMYFUNCTION("""COMPUTED_VALUE"""),653645.0)</f>
        <v>653645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IFERROR(__xludf.DUMMYFUNCTION("""COMPUTED_VALUE"""),31.68)</f>
        <v>31.68</v>
      </c>
      <c r="C1497" s="1">
        <f>IFERROR(__xludf.DUMMYFUNCTION("""COMPUTED_VALUE"""),32.11)</f>
        <v>32.11</v>
      </c>
      <c r="D1497" s="1">
        <f>IFERROR(__xludf.DUMMYFUNCTION("""COMPUTED_VALUE"""),31.36)</f>
        <v>31.36</v>
      </c>
      <c r="E1497" s="1">
        <f>IFERROR(__xludf.DUMMYFUNCTION("""COMPUTED_VALUE"""),31.75)</f>
        <v>31.75</v>
      </c>
      <c r="F1497" s="1">
        <f>IFERROR(__xludf.DUMMYFUNCTION("""COMPUTED_VALUE"""),400886.0)</f>
        <v>400886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IFERROR(__xludf.DUMMYFUNCTION("""COMPUTED_VALUE"""),31.09)</f>
        <v>31.09</v>
      </c>
      <c r="C1498" s="1">
        <f>IFERROR(__xludf.DUMMYFUNCTION("""COMPUTED_VALUE"""),31.52)</f>
        <v>31.52</v>
      </c>
      <c r="D1498" s="1">
        <f>IFERROR(__xludf.DUMMYFUNCTION("""COMPUTED_VALUE"""),30.6)</f>
        <v>30.6</v>
      </c>
      <c r="E1498" s="1">
        <f>IFERROR(__xludf.DUMMYFUNCTION("""COMPUTED_VALUE"""),30.89)</f>
        <v>30.89</v>
      </c>
      <c r="F1498" s="1">
        <f>IFERROR(__xludf.DUMMYFUNCTION("""COMPUTED_VALUE"""),699232.0)</f>
        <v>699232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IFERROR(__xludf.DUMMYFUNCTION("""COMPUTED_VALUE"""),30.94)</f>
        <v>30.94</v>
      </c>
      <c r="C1499" s="1">
        <f>IFERROR(__xludf.DUMMYFUNCTION("""COMPUTED_VALUE"""),31.26)</f>
        <v>31.26</v>
      </c>
      <c r="D1499" s="1">
        <f>IFERROR(__xludf.DUMMYFUNCTION("""COMPUTED_VALUE"""),30.46)</f>
        <v>30.46</v>
      </c>
      <c r="E1499" s="1">
        <f>IFERROR(__xludf.DUMMYFUNCTION("""COMPUTED_VALUE"""),31.03)</f>
        <v>31.03</v>
      </c>
      <c r="F1499" s="1">
        <f>IFERROR(__xludf.DUMMYFUNCTION("""COMPUTED_VALUE"""),664349.0)</f>
        <v>664349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IFERROR(__xludf.DUMMYFUNCTION("""COMPUTED_VALUE"""),31.39)</f>
        <v>31.39</v>
      </c>
      <c r="C1500" s="1">
        <f>IFERROR(__xludf.DUMMYFUNCTION("""COMPUTED_VALUE"""),32.06)</f>
        <v>32.06</v>
      </c>
      <c r="D1500" s="1">
        <f>IFERROR(__xludf.DUMMYFUNCTION("""COMPUTED_VALUE"""),31.18)</f>
        <v>31.18</v>
      </c>
      <c r="E1500" s="1">
        <f>IFERROR(__xludf.DUMMYFUNCTION("""COMPUTED_VALUE"""),31.83)</f>
        <v>31.83</v>
      </c>
      <c r="F1500" s="1">
        <f>IFERROR(__xludf.DUMMYFUNCTION("""COMPUTED_VALUE"""),688804.0)</f>
        <v>688804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IFERROR(__xludf.DUMMYFUNCTION("""COMPUTED_VALUE"""),32.28)</f>
        <v>32.28</v>
      </c>
      <c r="C1501" s="1">
        <f>IFERROR(__xludf.DUMMYFUNCTION("""COMPUTED_VALUE"""),32.49)</f>
        <v>32.49</v>
      </c>
      <c r="D1501" s="1">
        <f>IFERROR(__xludf.DUMMYFUNCTION("""COMPUTED_VALUE"""),31.63)</f>
        <v>31.63</v>
      </c>
      <c r="E1501" s="1">
        <f>IFERROR(__xludf.DUMMYFUNCTION("""COMPUTED_VALUE"""),32.31)</f>
        <v>32.31</v>
      </c>
      <c r="F1501" s="1">
        <f>IFERROR(__xludf.DUMMYFUNCTION("""COMPUTED_VALUE"""),989395.0)</f>
        <v>989395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IFERROR(__xludf.DUMMYFUNCTION("""COMPUTED_VALUE"""),32.48)</f>
        <v>32.48</v>
      </c>
      <c r="C1502" s="1">
        <f>IFERROR(__xludf.DUMMYFUNCTION("""COMPUTED_VALUE"""),32.5)</f>
        <v>32.5</v>
      </c>
      <c r="D1502" s="1">
        <f>IFERROR(__xludf.DUMMYFUNCTION("""COMPUTED_VALUE"""),31.47)</f>
        <v>31.47</v>
      </c>
      <c r="E1502" s="1">
        <f>IFERROR(__xludf.DUMMYFUNCTION("""COMPUTED_VALUE"""),31.57)</f>
        <v>31.57</v>
      </c>
      <c r="F1502" s="1">
        <f>IFERROR(__xludf.DUMMYFUNCTION("""COMPUTED_VALUE"""),774780.0)</f>
        <v>774780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IFERROR(__xludf.DUMMYFUNCTION("""COMPUTED_VALUE"""),31.37)</f>
        <v>31.37</v>
      </c>
      <c r="C1503" s="1">
        <f>IFERROR(__xludf.DUMMYFUNCTION("""COMPUTED_VALUE"""),31.51)</f>
        <v>31.51</v>
      </c>
      <c r="D1503" s="1">
        <f>IFERROR(__xludf.DUMMYFUNCTION("""COMPUTED_VALUE"""),30.67)</f>
        <v>30.67</v>
      </c>
      <c r="E1503" s="1">
        <f>IFERROR(__xludf.DUMMYFUNCTION("""COMPUTED_VALUE"""),31.29)</f>
        <v>31.29</v>
      </c>
      <c r="F1503" s="1">
        <f>IFERROR(__xludf.DUMMYFUNCTION("""COMPUTED_VALUE"""),4242178.0)</f>
        <v>4242178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IFERROR(__xludf.DUMMYFUNCTION("""COMPUTED_VALUE"""),31.44)</f>
        <v>31.44</v>
      </c>
      <c r="C1504" s="1">
        <f>IFERROR(__xludf.DUMMYFUNCTION("""COMPUTED_VALUE"""),31.77)</f>
        <v>31.77</v>
      </c>
      <c r="D1504" s="1">
        <f>IFERROR(__xludf.DUMMYFUNCTION("""COMPUTED_VALUE"""),31.16)</f>
        <v>31.16</v>
      </c>
      <c r="E1504" s="1">
        <f>IFERROR(__xludf.DUMMYFUNCTION("""COMPUTED_VALUE"""),31.55)</f>
        <v>31.55</v>
      </c>
      <c r="F1504" s="1">
        <f>IFERROR(__xludf.DUMMYFUNCTION("""COMPUTED_VALUE"""),488963.0)</f>
        <v>488963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IFERROR(__xludf.DUMMYFUNCTION("""COMPUTED_VALUE"""),31.75)</f>
        <v>31.75</v>
      </c>
      <c r="C1505" s="1">
        <f>IFERROR(__xludf.DUMMYFUNCTION("""COMPUTED_VALUE"""),31.75)</f>
        <v>31.75</v>
      </c>
      <c r="D1505" s="1">
        <f>IFERROR(__xludf.DUMMYFUNCTION("""COMPUTED_VALUE"""),31.09)</f>
        <v>31.09</v>
      </c>
      <c r="E1505" s="1">
        <f>IFERROR(__xludf.DUMMYFUNCTION("""COMPUTED_VALUE"""),31.53)</f>
        <v>31.53</v>
      </c>
      <c r="F1505" s="1">
        <f>IFERROR(__xludf.DUMMYFUNCTION("""COMPUTED_VALUE"""),333340.0)</f>
        <v>333340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IFERROR(__xludf.DUMMYFUNCTION("""COMPUTED_VALUE"""),31.65)</f>
        <v>31.65</v>
      </c>
      <c r="C1506" s="1">
        <f>IFERROR(__xludf.DUMMYFUNCTION("""COMPUTED_VALUE"""),31.99)</f>
        <v>31.99</v>
      </c>
      <c r="D1506" s="1">
        <f>IFERROR(__xludf.DUMMYFUNCTION("""COMPUTED_VALUE"""),31.41)</f>
        <v>31.41</v>
      </c>
      <c r="E1506" s="1">
        <f>IFERROR(__xludf.DUMMYFUNCTION("""COMPUTED_VALUE"""),31.93)</f>
        <v>31.93</v>
      </c>
      <c r="F1506" s="1">
        <f>IFERROR(__xludf.DUMMYFUNCTION("""COMPUTED_VALUE"""),215619.0)</f>
        <v>215619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IFERROR(__xludf.DUMMYFUNCTION("""COMPUTED_VALUE"""),31.93)</f>
        <v>31.93</v>
      </c>
      <c r="C1507" s="1">
        <f>IFERROR(__xludf.DUMMYFUNCTION("""COMPUTED_VALUE"""),32.3)</f>
        <v>32.3</v>
      </c>
      <c r="D1507" s="1">
        <f>IFERROR(__xludf.DUMMYFUNCTION("""COMPUTED_VALUE"""),31.83)</f>
        <v>31.83</v>
      </c>
      <c r="E1507" s="1">
        <f>IFERROR(__xludf.DUMMYFUNCTION("""COMPUTED_VALUE"""),32.03)</f>
        <v>32.03</v>
      </c>
      <c r="F1507" s="1">
        <f>IFERROR(__xludf.DUMMYFUNCTION("""COMPUTED_VALUE"""),119193.0)</f>
        <v>119193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IFERROR(__xludf.DUMMYFUNCTION("""COMPUTED_VALUE"""),31.83)</f>
        <v>31.83</v>
      </c>
      <c r="C1508" s="1">
        <f>IFERROR(__xludf.DUMMYFUNCTION("""COMPUTED_VALUE"""),32.04)</f>
        <v>32.04</v>
      </c>
      <c r="D1508" s="1">
        <f>IFERROR(__xludf.DUMMYFUNCTION("""COMPUTED_VALUE"""),31.47)</f>
        <v>31.47</v>
      </c>
      <c r="E1508" s="1">
        <f>IFERROR(__xludf.DUMMYFUNCTION("""COMPUTED_VALUE"""),32.0)</f>
        <v>32</v>
      </c>
      <c r="F1508" s="1">
        <f>IFERROR(__xludf.DUMMYFUNCTION("""COMPUTED_VALUE"""),221304.0)</f>
        <v>221304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IFERROR(__xludf.DUMMYFUNCTION("""COMPUTED_VALUE"""),32.22)</f>
        <v>32.22</v>
      </c>
      <c r="C1509" s="1">
        <f>IFERROR(__xludf.DUMMYFUNCTION("""COMPUTED_VALUE"""),32.53)</f>
        <v>32.53</v>
      </c>
      <c r="D1509" s="1">
        <f>IFERROR(__xludf.DUMMYFUNCTION("""COMPUTED_VALUE"""),32.06)</f>
        <v>32.06</v>
      </c>
      <c r="E1509" s="1">
        <f>IFERROR(__xludf.DUMMYFUNCTION("""COMPUTED_VALUE"""),32.46)</f>
        <v>32.46</v>
      </c>
      <c r="F1509" s="1">
        <f>IFERROR(__xludf.DUMMYFUNCTION("""COMPUTED_VALUE"""),317477.0)</f>
        <v>317477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IFERROR(__xludf.DUMMYFUNCTION("""COMPUTED_VALUE"""),32.45)</f>
        <v>32.45</v>
      </c>
      <c r="C1510" s="1">
        <f>IFERROR(__xludf.DUMMYFUNCTION("""COMPUTED_VALUE"""),32.45)</f>
        <v>32.45</v>
      </c>
      <c r="D1510" s="1">
        <f>IFERROR(__xludf.DUMMYFUNCTION("""COMPUTED_VALUE"""),31.84)</f>
        <v>31.84</v>
      </c>
      <c r="E1510" s="1">
        <f>IFERROR(__xludf.DUMMYFUNCTION("""COMPUTED_VALUE"""),31.86)</f>
        <v>31.86</v>
      </c>
      <c r="F1510" s="1">
        <f>IFERROR(__xludf.DUMMYFUNCTION("""COMPUTED_VALUE"""),202558.0)</f>
        <v>202558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IFERROR(__xludf.DUMMYFUNCTION("""COMPUTED_VALUE"""),31.71)</f>
        <v>31.71</v>
      </c>
      <c r="C1511" s="1">
        <f>IFERROR(__xludf.DUMMYFUNCTION("""COMPUTED_VALUE"""),31.94)</f>
        <v>31.94</v>
      </c>
      <c r="D1511" s="1">
        <f>IFERROR(__xludf.DUMMYFUNCTION("""COMPUTED_VALUE"""),31.31)</f>
        <v>31.31</v>
      </c>
      <c r="E1511" s="1">
        <f>IFERROR(__xludf.DUMMYFUNCTION("""COMPUTED_VALUE"""),31.33)</f>
        <v>31.33</v>
      </c>
      <c r="F1511" s="1">
        <f>IFERROR(__xludf.DUMMYFUNCTION("""COMPUTED_VALUE"""),311693.0)</f>
        <v>311693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IFERROR(__xludf.DUMMYFUNCTION("""COMPUTED_VALUE"""),30.9)</f>
        <v>30.9</v>
      </c>
      <c r="C1512" s="1">
        <f>IFERROR(__xludf.DUMMYFUNCTION("""COMPUTED_VALUE"""),31.2)</f>
        <v>31.2</v>
      </c>
      <c r="D1512" s="1">
        <f>IFERROR(__xludf.DUMMYFUNCTION("""COMPUTED_VALUE"""),30.0)</f>
        <v>30</v>
      </c>
      <c r="E1512" s="1">
        <f>IFERROR(__xludf.DUMMYFUNCTION("""COMPUTED_VALUE"""),30.12)</f>
        <v>30.12</v>
      </c>
      <c r="F1512" s="1">
        <f>IFERROR(__xludf.DUMMYFUNCTION("""COMPUTED_VALUE"""),700940.0)</f>
        <v>700940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IFERROR(__xludf.DUMMYFUNCTION("""COMPUTED_VALUE"""),30.21)</f>
        <v>30.21</v>
      </c>
      <c r="C1513" s="1">
        <f>IFERROR(__xludf.DUMMYFUNCTION("""COMPUTED_VALUE"""),30.48)</f>
        <v>30.48</v>
      </c>
      <c r="D1513" s="1">
        <f>IFERROR(__xludf.DUMMYFUNCTION("""COMPUTED_VALUE"""),29.9)</f>
        <v>29.9</v>
      </c>
      <c r="E1513" s="1">
        <f>IFERROR(__xludf.DUMMYFUNCTION("""COMPUTED_VALUE"""),30.1)</f>
        <v>30.1</v>
      </c>
      <c r="F1513" s="1">
        <f>IFERROR(__xludf.DUMMYFUNCTION("""COMPUTED_VALUE"""),531388.0)</f>
        <v>531388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IFERROR(__xludf.DUMMYFUNCTION("""COMPUTED_VALUE"""),29.56)</f>
        <v>29.56</v>
      </c>
      <c r="C1514" s="1">
        <f>IFERROR(__xludf.DUMMYFUNCTION("""COMPUTED_VALUE"""),30.04)</f>
        <v>30.04</v>
      </c>
      <c r="D1514" s="1">
        <f>IFERROR(__xludf.DUMMYFUNCTION("""COMPUTED_VALUE"""),29.5)</f>
        <v>29.5</v>
      </c>
      <c r="E1514" s="1">
        <f>IFERROR(__xludf.DUMMYFUNCTION("""COMPUTED_VALUE"""),29.77)</f>
        <v>29.77</v>
      </c>
      <c r="F1514" s="1">
        <f>IFERROR(__xludf.DUMMYFUNCTION("""COMPUTED_VALUE"""),472922.0)</f>
        <v>472922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IFERROR(__xludf.DUMMYFUNCTION("""COMPUTED_VALUE"""),29.09)</f>
        <v>29.09</v>
      </c>
      <c r="C1515" s="1">
        <f>IFERROR(__xludf.DUMMYFUNCTION("""COMPUTED_VALUE"""),29.31)</f>
        <v>29.31</v>
      </c>
      <c r="D1515" s="1">
        <f>IFERROR(__xludf.DUMMYFUNCTION("""COMPUTED_VALUE"""),28.62)</f>
        <v>28.62</v>
      </c>
      <c r="E1515" s="1">
        <f>IFERROR(__xludf.DUMMYFUNCTION("""COMPUTED_VALUE"""),28.63)</f>
        <v>28.63</v>
      </c>
      <c r="F1515" s="1">
        <f>IFERROR(__xludf.DUMMYFUNCTION("""COMPUTED_VALUE"""),869546.0)</f>
        <v>869546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IFERROR(__xludf.DUMMYFUNCTION("""COMPUTED_VALUE"""),28.76)</f>
        <v>28.76</v>
      </c>
      <c r="C1516" s="1">
        <f>IFERROR(__xludf.DUMMYFUNCTION("""COMPUTED_VALUE"""),28.81)</f>
        <v>28.81</v>
      </c>
      <c r="D1516" s="1">
        <f>IFERROR(__xludf.DUMMYFUNCTION("""COMPUTED_VALUE"""),27.74)</f>
        <v>27.74</v>
      </c>
      <c r="E1516" s="1">
        <f>IFERROR(__xludf.DUMMYFUNCTION("""COMPUTED_VALUE"""),27.78)</f>
        <v>27.78</v>
      </c>
      <c r="F1516" s="1">
        <f>IFERROR(__xludf.DUMMYFUNCTION("""COMPUTED_VALUE"""),784196.0)</f>
        <v>784196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IFERROR(__xludf.DUMMYFUNCTION("""COMPUTED_VALUE"""),27.69)</f>
        <v>27.69</v>
      </c>
      <c r="C1517" s="1">
        <f>IFERROR(__xludf.DUMMYFUNCTION("""COMPUTED_VALUE"""),28.28)</f>
        <v>28.28</v>
      </c>
      <c r="D1517" s="1">
        <f>IFERROR(__xludf.DUMMYFUNCTION("""COMPUTED_VALUE"""),27.63)</f>
        <v>27.63</v>
      </c>
      <c r="E1517" s="1">
        <f>IFERROR(__xludf.DUMMYFUNCTION("""COMPUTED_VALUE"""),28.21)</f>
        <v>28.21</v>
      </c>
      <c r="F1517" s="1">
        <f>IFERROR(__xludf.DUMMYFUNCTION("""COMPUTED_VALUE"""),571740.0)</f>
        <v>571740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IFERROR(__xludf.DUMMYFUNCTION("""COMPUTED_VALUE"""),28.38)</f>
        <v>28.38</v>
      </c>
      <c r="C1518" s="1">
        <f>IFERROR(__xludf.DUMMYFUNCTION("""COMPUTED_VALUE"""),28.7)</f>
        <v>28.7</v>
      </c>
      <c r="D1518" s="1">
        <f>IFERROR(__xludf.DUMMYFUNCTION("""COMPUTED_VALUE"""),28.15)</f>
        <v>28.15</v>
      </c>
      <c r="E1518" s="1">
        <f>IFERROR(__xludf.DUMMYFUNCTION("""COMPUTED_VALUE"""),28.66)</f>
        <v>28.66</v>
      </c>
      <c r="F1518" s="1">
        <f>IFERROR(__xludf.DUMMYFUNCTION("""COMPUTED_VALUE"""),578997.0)</f>
        <v>578997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IFERROR(__xludf.DUMMYFUNCTION("""COMPUTED_VALUE"""),28.79)</f>
        <v>28.79</v>
      </c>
      <c r="C1519" s="1">
        <f>IFERROR(__xludf.DUMMYFUNCTION("""COMPUTED_VALUE"""),29.64)</f>
        <v>29.64</v>
      </c>
      <c r="D1519" s="1">
        <f>IFERROR(__xludf.DUMMYFUNCTION("""COMPUTED_VALUE"""),27.42)</f>
        <v>27.42</v>
      </c>
      <c r="E1519" s="1">
        <f>IFERROR(__xludf.DUMMYFUNCTION("""COMPUTED_VALUE"""),27.52)</f>
        <v>27.52</v>
      </c>
      <c r="F1519" s="1">
        <f>IFERROR(__xludf.DUMMYFUNCTION("""COMPUTED_VALUE"""),588218.0)</f>
        <v>588218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IFERROR(__xludf.DUMMYFUNCTION("""COMPUTED_VALUE"""),27.81)</f>
        <v>27.81</v>
      </c>
      <c r="C1520" s="1">
        <f>IFERROR(__xludf.DUMMYFUNCTION("""COMPUTED_VALUE"""),28.24)</f>
        <v>28.24</v>
      </c>
      <c r="D1520" s="1">
        <f>IFERROR(__xludf.DUMMYFUNCTION("""COMPUTED_VALUE"""),27.32)</f>
        <v>27.32</v>
      </c>
      <c r="E1520" s="1">
        <f>IFERROR(__xludf.DUMMYFUNCTION("""COMPUTED_VALUE"""),27.92)</f>
        <v>27.92</v>
      </c>
      <c r="F1520" s="1">
        <f>IFERROR(__xludf.DUMMYFUNCTION("""COMPUTED_VALUE"""),572329.0)</f>
        <v>572329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IFERROR(__xludf.DUMMYFUNCTION("""COMPUTED_VALUE"""),27.09)</f>
        <v>27.09</v>
      </c>
      <c r="C1521" s="1">
        <f>IFERROR(__xludf.DUMMYFUNCTION("""COMPUTED_VALUE"""),27.64)</f>
        <v>27.64</v>
      </c>
      <c r="D1521" s="1">
        <f>IFERROR(__xludf.DUMMYFUNCTION("""COMPUTED_VALUE"""),26.79)</f>
        <v>26.79</v>
      </c>
      <c r="E1521" s="1">
        <f>IFERROR(__xludf.DUMMYFUNCTION("""COMPUTED_VALUE"""),27.6)</f>
        <v>27.6</v>
      </c>
      <c r="F1521" s="1">
        <f>IFERROR(__xludf.DUMMYFUNCTION("""COMPUTED_VALUE"""),855630.0)</f>
        <v>855630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IFERROR(__xludf.DUMMYFUNCTION("""COMPUTED_VALUE"""),27.96)</f>
        <v>27.96</v>
      </c>
      <c r="C1522" s="1">
        <f>IFERROR(__xludf.DUMMYFUNCTION("""COMPUTED_VALUE"""),28.45)</f>
        <v>28.45</v>
      </c>
      <c r="D1522" s="1">
        <f>IFERROR(__xludf.DUMMYFUNCTION("""COMPUTED_VALUE"""),27.11)</f>
        <v>27.11</v>
      </c>
      <c r="E1522" s="1">
        <f>IFERROR(__xludf.DUMMYFUNCTION("""COMPUTED_VALUE"""),27.35)</f>
        <v>27.35</v>
      </c>
      <c r="F1522" s="1">
        <f>IFERROR(__xludf.DUMMYFUNCTION("""COMPUTED_VALUE"""),365366.0)</f>
        <v>365366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IFERROR(__xludf.DUMMYFUNCTION("""COMPUTED_VALUE"""),26.77)</f>
        <v>26.77</v>
      </c>
      <c r="C1523" s="1">
        <f>IFERROR(__xludf.DUMMYFUNCTION("""COMPUTED_VALUE"""),27.39)</f>
        <v>27.39</v>
      </c>
      <c r="D1523" s="1">
        <f>IFERROR(__xludf.DUMMYFUNCTION("""COMPUTED_VALUE"""),26.2)</f>
        <v>26.2</v>
      </c>
      <c r="E1523" s="1">
        <f>IFERROR(__xludf.DUMMYFUNCTION("""COMPUTED_VALUE"""),27.08)</f>
        <v>27.08</v>
      </c>
      <c r="F1523" s="1">
        <f>IFERROR(__xludf.DUMMYFUNCTION("""COMPUTED_VALUE"""),499288.0)</f>
        <v>499288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IFERROR(__xludf.DUMMYFUNCTION("""COMPUTED_VALUE"""),27.09)</f>
        <v>27.09</v>
      </c>
      <c r="C1524" s="1">
        <f>IFERROR(__xludf.DUMMYFUNCTION("""COMPUTED_VALUE"""),27.96)</f>
        <v>27.96</v>
      </c>
      <c r="D1524" s="1">
        <f>IFERROR(__xludf.DUMMYFUNCTION("""COMPUTED_VALUE"""),26.29)</f>
        <v>26.29</v>
      </c>
      <c r="E1524" s="1">
        <f>IFERROR(__xludf.DUMMYFUNCTION("""COMPUTED_VALUE"""),26.31)</f>
        <v>26.31</v>
      </c>
      <c r="F1524" s="1">
        <f>IFERROR(__xludf.DUMMYFUNCTION("""COMPUTED_VALUE"""),723520.0)</f>
        <v>723520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IFERROR(__xludf.DUMMYFUNCTION("""COMPUTED_VALUE"""),26.57)</f>
        <v>26.57</v>
      </c>
      <c r="C1525" s="1">
        <f>IFERROR(__xludf.DUMMYFUNCTION("""COMPUTED_VALUE"""),26.81)</f>
        <v>26.81</v>
      </c>
      <c r="D1525" s="1">
        <f>IFERROR(__xludf.DUMMYFUNCTION("""COMPUTED_VALUE"""),26.08)</f>
        <v>26.08</v>
      </c>
      <c r="E1525" s="1">
        <f>IFERROR(__xludf.DUMMYFUNCTION("""COMPUTED_VALUE"""),26.33)</f>
        <v>26.33</v>
      </c>
      <c r="F1525" s="1">
        <f>IFERROR(__xludf.DUMMYFUNCTION("""COMPUTED_VALUE"""),856132.0)</f>
        <v>856132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IFERROR(__xludf.DUMMYFUNCTION("""COMPUTED_VALUE"""),26.27)</f>
        <v>26.27</v>
      </c>
      <c r="C1526" s="1">
        <f>IFERROR(__xludf.DUMMYFUNCTION("""COMPUTED_VALUE"""),26.35)</f>
        <v>26.35</v>
      </c>
      <c r="D1526" s="1">
        <f>IFERROR(__xludf.DUMMYFUNCTION("""COMPUTED_VALUE"""),25.62)</f>
        <v>25.62</v>
      </c>
      <c r="E1526" s="1">
        <f>IFERROR(__xludf.DUMMYFUNCTION("""COMPUTED_VALUE"""),25.65)</f>
        <v>25.65</v>
      </c>
      <c r="F1526" s="1">
        <f>IFERROR(__xludf.DUMMYFUNCTION("""COMPUTED_VALUE"""),735742.0)</f>
        <v>735742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IFERROR(__xludf.DUMMYFUNCTION("""COMPUTED_VALUE"""),25.83)</f>
        <v>25.83</v>
      </c>
      <c r="C1527" s="1">
        <f>IFERROR(__xludf.DUMMYFUNCTION("""COMPUTED_VALUE"""),26.52)</f>
        <v>26.52</v>
      </c>
      <c r="D1527" s="1">
        <f>IFERROR(__xludf.DUMMYFUNCTION("""COMPUTED_VALUE"""),25.83)</f>
        <v>25.83</v>
      </c>
      <c r="E1527" s="1">
        <f>IFERROR(__xludf.DUMMYFUNCTION("""COMPUTED_VALUE"""),26.31)</f>
        <v>26.31</v>
      </c>
      <c r="F1527" s="1">
        <f>IFERROR(__xludf.DUMMYFUNCTION("""COMPUTED_VALUE"""),850852.0)</f>
        <v>850852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IFERROR(__xludf.DUMMYFUNCTION("""COMPUTED_VALUE"""),26.31)</f>
        <v>26.31</v>
      </c>
      <c r="C1528" s="1">
        <f>IFERROR(__xludf.DUMMYFUNCTION("""COMPUTED_VALUE"""),27.23)</f>
        <v>27.23</v>
      </c>
      <c r="D1528" s="1">
        <f>IFERROR(__xludf.DUMMYFUNCTION("""COMPUTED_VALUE"""),26.06)</f>
        <v>26.06</v>
      </c>
      <c r="E1528" s="1">
        <f>IFERROR(__xludf.DUMMYFUNCTION("""COMPUTED_VALUE"""),26.73)</f>
        <v>26.73</v>
      </c>
      <c r="F1528" s="1">
        <f>IFERROR(__xludf.DUMMYFUNCTION("""COMPUTED_VALUE"""),575919.0)</f>
        <v>575919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IFERROR(__xludf.DUMMYFUNCTION("""COMPUTED_VALUE"""),27.1)</f>
        <v>27.1</v>
      </c>
      <c r="C1529" s="1">
        <f>IFERROR(__xludf.DUMMYFUNCTION("""COMPUTED_VALUE"""),27.49)</f>
        <v>27.49</v>
      </c>
      <c r="D1529" s="1">
        <f>IFERROR(__xludf.DUMMYFUNCTION("""COMPUTED_VALUE"""),27.0)</f>
        <v>27</v>
      </c>
      <c r="E1529" s="1">
        <f>IFERROR(__xludf.DUMMYFUNCTION("""COMPUTED_VALUE"""),27.18)</f>
        <v>27.18</v>
      </c>
      <c r="F1529" s="1">
        <f>IFERROR(__xludf.DUMMYFUNCTION("""COMPUTED_VALUE"""),436790.0)</f>
        <v>436790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IFERROR(__xludf.DUMMYFUNCTION("""COMPUTED_VALUE"""),27.19)</f>
        <v>27.19</v>
      </c>
      <c r="C1530" s="1">
        <f>IFERROR(__xludf.DUMMYFUNCTION("""COMPUTED_VALUE"""),28.01)</f>
        <v>28.01</v>
      </c>
      <c r="D1530" s="1">
        <f>IFERROR(__xludf.DUMMYFUNCTION("""COMPUTED_VALUE"""),27.02)</f>
        <v>27.02</v>
      </c>
      <c r="E1530" s="1">
        <f>IFERROR(__xludf.DUMMYFUNCTION("""COMPUTED_VALUE"""),28.0)</f>
        <v>28</v>
      </c>
      <c r="F1530" s="1">
        <f>IFERROR(__xludf.DUMMYFUNCTION("""COMPUTED_VALUE"""),699886.0)</f>
        <v>699886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IFERROR(__xludf.DUMMYFUNCTION("""COMPUTED_VALUE"""),27.63)</f>
        <v>27.63</v>
      </c>
      <c r="C1531" s="1">
        <f>IFERROR(__xludf.DUMMYFUNCTION("""COMPUTED_VALUE"""),28.0)</f>
        <v>28</v>
      </c>
      <c r="D1531" s="1">
        <f>IFERROR(__xludf.DUMMYFUNCTION("""COMPUTED_VALUE"""),27.43)</f>
        <v>27.43</v>
      </c>
      <c r="E1531" s="1">
        <f>IFERROR(__xludf.DUMMYFUNCTION("""COMPUTED_VALUE"""),27.72)</f>
        <v>27.72</v>
      </c>
      <c r="F1531" s="1">
        <f>IFERROR(__xludf.DUMMYFUNCTION("""COMPUTED_VALUE"""),498438.0)</f>
        <v>498438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IFERROR(__xludf.DUMMYFUNCTION("""COMPUTED_VALUE"""),27.43)</f>
        <v>27.43</v>
      </c>
      <c r="C1532" s="1">
        <f>IFERROR(__xludf.DUMMYFUNCTION("""COMPUTED_VALUE"""),27.43)</f>
        <v>27.43</v>
      </c>
      <c r="D1532" s="1">
        <f>IFERROR(__xludf.DUMMYFUNCTION("""COMPUTED_VALUE"""),26.66)</f>
        <v>26.66</v>
      </c>
      <c r="E1532" s="1">
        <f>IFERROR(__xludf.DUMMYFUNCTION("""COMPUTED_VALUE"""),26.87)</f>
        <v>26.87</v>
      </c>
      <c r="F1532" s="1">
        <f>IFERROR(__xludf.DUMMYFUNCTION("""COMPUTED_VALUE"""),512344.0)</f>
        <v>512344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IFERROR(__xludf.DUMMYFUNCTION("""COMPUTED_VALUE"""),27.16)</f>
        <v>27.16</v>
      </c>
      <c r="C1533" s="1">
        <f>IFERROR(__xludf.DUMMYFUNCTION("""COMPUTED_VALUE"""),27.16)</f>
        <v>27.16</v>
      </c>
      <c r="D1533" s="1">
        <f>IFERROR(__xludf.DUMMYFUNCTION("""COMPUTED_VALUE"""),25.99)</f>
        <v>25.99</v>
      </c>
      <c r="E1533" s="1">
        <f>IFERROR(__xludf.DUMMYFUNCTION("""COMPUTED_VALUE"""),27.0)</f>
        <v>27</v>
      </c>
      <c r="F1533" s="1">
        <f>IFERROR(__xludf.DUMMYFUNCTION("""COMPUTED_VALUE"""),547271.0)</f>
        <v>547271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IFERROR(__xludf.DUMMYFUNCTION("""COMPUTED_VALUE"""),26.97)</f>
        <v>26.97</v>
      </c>
      <c r="C1534" s="1">
        <f>IFERROR(__xludf.DUMMYFUNCTION("""COMPUTED_VALUE"""),27.64)</f>
        <v>27.64</v>
      </c>
      <c r="D1534" s="1">
        <f>IFERROR(__xludf.DUMMYFUNCTION("""COMPUTED_VALUE"""),26.97)</f>
        <v>26.97</v>
      </c>
      <c r="E1534" s="1">
        <f>IFERROR(__xludf.DUMMYFUNCTION("""COMPUTED_VALUE"""),27.45)</f>
        <v>27.45</v>
      </c>
      <c r="F1534" s="1">
        <f>IFERROR(__xludf.DUMMYFUNCTION("""COMPUTED_VALUE"""),463541.0)</f>
        <v>463541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IFERROR(__xludf.DUMMYFUNCTION("""COMPUTED_VALUE"""),27.45)</f>
        <v>27.45</v>
      </c>
      <c r="C1535" s="1">
        <f>IFERROR(__xludf.DUMMYFUNCTION("""COMPUTED_VALUE"""),27.9)</f>
        <v>27.9</v>
      </c>
      <c r="D1535" s="1">
        <f>IFERROR(__xludf.DUMMYFUNCTION("""COMPUTED_VALUE"""),26.88)</f>
        <v>26.88</v>
      </c>
      <c r="E1535" s="1">
        <f>IFERROR(__xludf.DUMMYFUNCTION("""COMPUTED_VALUE"""),26.9)</f>
        <v>26.9</v>
      </c>
      <c r="F1535" s="1">
        <f>IFERROR(__xludf.DUMMYFUNCTION("""COMPUTED_VALUE"""),592734.0)</f>
        <v>592734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IFERROR(__xludf.DUMMYFUNCTION("""COMPUTED_VALUE"""),26.51)</f>
        <v>26.51</v>
      </c>
      <c r="C1536" s="1">
        <f>IFERROR(__xludf.DUMMYFUNCTION("""COMPUTED_VALUE"""),27.15)</f>
        <v>27.15</v>
      </c>
      <c r="D1536" s="1">
        <f>IFERROR(__xludf.DUMMYFUNCTION("""COMPUTED_VALUE"""),26.22)</f>
        <v>26.22</v>
      </c>
      <c r="E1536" s="1">
        <f>IFERROR(__xludf.DUMMYFUNCTION("""COMPUTED_VALUE"""),26.99)</f>
        <v>26.99</v>
      </c>
      <c r="F1536" s="1">
        <f>IFERROR(__xludf.DUMMYFUNCTION("""COMPUTED_VALUE"""),760376.0)</f>
        <v>760376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IFERROR(__xludf.DUMMYFUNCTION("""COMPUTED_VALUE"""),26.54)</f>
        <v>26.54</v>
      </c>
      <c r="C1537" s="1">
        <f>IFERROR(__xludf.DUMMYFUNCTION("""COMPUTED_VALUE"""),27.61)</f>
        <v>27.61</v>
      </c>
      <c r="D1537" s="1">
        <f>IFERROR(__xludf.DUMMYFUNCTION("""COMPUTED_VALUE"""),26.54)</f>
        <v>26.54</v>
      </c>
      <c r="E1537" s="1">
        <f>IFERROR(__xludf.DUMMYFUNCTION("""COMPUTED_VALUE"""),27.32)</f>
        <v>27.32</v>
      </c>
      <c r="F1537" s="1">
        <f>IFERROR(__xludf.DUMMYFUNCTION("""COMPUTED_VALUE"""),576207.0)</f>
        <v>576207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IFERROR(__xludf.DUMMYFUNCTION("""COMPUTED_VALUE"""),27.53)</f>
        <v>27.53</v>
      </c>
      <c r="C1538" s="1">
        <f>IFERROR(__xludf.DUMMYFUNCTION("""COMPUTED_VALUE"""),28.18)</f>
        <v>28.18</v>
      </c>
      <c r="D1538" s="1">
        <f>IFERROR(__xludf.DUMMYFUNCTION("""COMPUTED_VALUE"""),27.05)</f>
        <v>27.05</v>
      </c>
      <c r="E1538" s="1">
        <f>IFERROR(__xludf.DUMMYFUNCTION("""COMPUTED_VALUE"""),27.07)</f>
        <v>27.07</v>
      </c>
      <c r="F1538" s="1">
        <f>IFERROR(__xludf.DUMMYFUNCTION("""COMPUTED_VALUE"""),511138.0)</f>
        <v>511138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IFERROR(__xludf.DUMMYFUNCTION("""COMPUTED_VALUE"""),26.4)</f>
        <v>26.4</v>
      </c>
      <c r="C1539" s="1">
        <f>IFERROR(__xludf.DUMMYFUNCTION("""COMPUTED_VALUE"""),27.02)</f>
        <v>27.02</v>
      </c>
      <c r="D1539" s="1">
        <f>IFERROR(__xludf.DUMMYFUNCTION("""COMPUTED_VALUE"""),26.1)</f>
        <v>26.1</v>
      </c>
      <c r="E1539" s="1">
        <f>IFERROR(__xludf.DUMMYFUNCTION("""COMPUTED_VALUE"""),26.77)</f>
        <v>26.77</v>
      </c>
      <c r="F1539" s="1">
        <f>IFERROR(__xludf.DUMMYFUNCTION("""COMPUTED_VALUE"""),574029.0)</f>
        <v>574029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IFERROR(__xludf.DUMMYFUNCTION("""COMPUTED_VALUE"""),27.35)</f>
        <v>27.35</v>
      </c>
      <c r="C1540" s="1">
        <f>IFERROR(__xludf.DUMMYFUNCTION("""COMPUTED_VALUE"""),27.35)</f>
        <v>27.35</v>
      </c>
      <c r="D1540" s="1">
        <f>IFERROR(__xludf.DUMMYFUNCTION("""COMPUTED_VALUE"""),26.63)</f>
        <v>26.63</v>
      </c>
      <c r="E1540" s="1">
        <f>IFERROR(__xludf.DUMMYFUNCTION("""COMPUTED_VALUE"""),26.84)</f>
        <v>26.84</v>
      </c>
      <c r="F1540" s="1">
        <f>IFERROR(__xludf.DUMMYFUNCTION("""COMPUTED_VALUE"""),1133376.0)</f>
        <v>1133376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IFERROR(__xludf.DUMMYFUNCTION("""COMPUTED_VALUE"""),27.25)</f>
        <v>27.25</v>
      </c>
      <c r="C1541" s="1">
        <f>IFERROR(__xludf.DUMMYFUNCTION("""COMPUTED_VALUE"""),27.92)</f>
        <v>27.92</v>
      </c>
      <c r="D1541" s="1">
        <f>IFERROR(__xludf.DUMMYFUNCTION("""COMPUTED_VALUE"""),26.86)</f>
        <v>26.86</v>
      </c>
      <c r="E1541" s="1">
        <f>IFERROR(__xludf.DUMMYFUNCTION("""COMPUTED_VALUE"""),27.51)</f>
        <v>27.51</v>
      </c>
      <c r="F1541" s="1">
        <f>IFERROR(__xludf.DUMMYFUNCTION("""COMPUTED_VALUE"""),681466.0)</f>
        <v>681466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IFERROR(__xludf.DUMMYFUNCTION("""COMPUTED_VALUE"""),27.76)</f>
        <v>27.76</v>
      </c>
      <c r="C1542" s="1">
        <f>IFERROR(__xludf.DUMMYFUNCTION("""COMPUTED_VALUE"""),27.91)</f>
        <v>27.91</v>
      </c>
      <c r="D1542" s="1">
        <f>IFERROR(__xludf.DUMMYFUNCTION("""COMPUTED_VALUE"""),27.22)</f>
        <v>27.22</v>
      </c>
      <c r="E1542" s="1">
        <f>IFERROR(__xludf.DUMMYFUNCTION("""COMPUTED_VALUE"""),27.37)</f>
        <v>27.37</v>
      </c>
      <c r="F1542" s="1">
        <f>IFERROR(__xludf.DUMMYFUNCTION("""COMPUTED_VALUE"""),729917.0)</f>
        <v>729917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IFERROR(__xludf.DUMMYFUNCTION("""COMPUTED_VALUE"""),27.42)</f>
        <v>27.42</v>
      </c>
      <c r="C1543" s="1">
        <f>IFERROR(__xludf.DUMMYFUNCTION("""COMPUTED_VALUE"""),27.5)</f>
        <v>27.5</v>
      </c>
      <c r="D1543" s="1">
        <f>IFERROR(__xludf.DUMMYFUNCTION("""COMPUTED_VALUE"""),26.82)</f>
        <v>26.82</v>
      </c>
      <c r="E1543" s="1">
        <f>IFERROR(__xludf.DUMMYFUNCTION("""COMPUTED_VALUE"""),27.0)</f>
        <v>27</v>
      </c>
      <c r="F1543" s="1">
        <f>IFERROR(__xludf.DUMMYFUNCTION("""COMPUTED_VALUE"""),545703.0)</f>
        <v>545703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IFERROR(__xludf.DUMMYFUNCTION("""COMPUTED_VALUE"""),26.88)</f>
        <v>26.88</v>
      </c>
      <c r="C1544" s="1">
        <f>IFERROR(__xludf.DUMMYFUNCTION("""COMPUTED_VALUE"""),27.3)</f>
        <v>27.3</v>
      </c>
      <c r="D1544" s="1">
        <f>IFERROR(__xludf.DUMMYFUNCTION("""COMPUTED_VALUE"""),26.86)</f>
        <v>26.86</v>
      </c>
      <c r="E1544" s="1">
        <f>IFERROR(__xludf.DUMMYFUNCTION("""COMPUTED_VALUE"""),27.19)</f>
        <v>27.19</v>
      </c>
      <c r="F1544" s="1">
        <f>IFERROR(__xludf.DUMMYFUNCTION("""COMPUTED_VALUE"""),573076.0)</f>
        <v>573076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IFERROR(__xludf.DUMMYFUNCTION("""COMPUTED_VALUE"""),27.41)</f>
        <v>27.41</v>
      </c>
      <c r="C1545" s="1">
        <f>IFERROR(__xludf.DUMMYFUNCTION("""COMPUTED_VALUE"""),27.84)</f>
        <v>27.84</v>
      </c>
      <c r="D1545" s="1">
        <f>IFERROR(__xludf.DUMMYFUNCTION("""COMPUTED_VALUE"""),27.17)</f>
        <v>27.17</v>
      </c>
      <c r="E1545" s="1">
        <f>IFERROR(__xludf.DUMMYFUNCTION("""COMPUTED_VALUE"""),27.37)</f>
        <v>27.37</v>
      </c>
      <c r="F1545" s="1">
        <f>IFERROR(__xludf.DUMMYFUNCTION("""COMPUTED_VALUE"""),529819.0)</f>
        <v>529819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IFERROR(__xludf.DUMMYFUNCTION("""COMPUTED_VALUE"""),27.34)</f>
        <v>27.34</v>
      </c>
      <c r="C1546" s="1">
        <f>IFERROR(__xludf.DUMMYFUNCTION("""COMPUTED_VALUE"""),27.7)</f>
        <v>27.7</v>
      </c>
      <c r="D1546" s="1">
        <f>IFERROR(__xludf.DUMMYFUNCTION("""COMPUTED_VALUE"""),26.49)</f>
        <v>26.49</v>
      </c>
      <c r="E1546" s="1">
        <f>IFERROR(__xludf.DUMMYFUNCTION("""COMPUTED_VALUE"""),26.57)</f>
        <v>26.57</v>
      </c>
      <c r="F1546" s="1">
        <f>IFERROR(__xludf.DUMMYFUNCTION("""COMPUTED_VALUE"""),666307.0)</f>
        <v>666307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IFERROR(__xludf.DUMMYFUNCTION("""COMPUTED_VALUE"""),26.22)</f>
        <v>26.22</v>
      </c>
      <c r="C1547" s="1">
        <f>IFERROR(__xludf.DUMMYFUNCTION("""COMPUTED_VALUE"""),26.6)</f>
        <v>26.6</v>
      </c>
      <c r="D1547" s="1">
        <f>IFERROR(__xludf.DUMMYFUNCTION("""COMPUTED_VALUE"""),25.66)</f>
        <v>25.66</v>
      </c>
      <c r="E1547" s="1">
        <f>IFERROR(__xludf.DUMMYFUNCTION("""COMPUTED_VALUE"""),26.55)</f>
        <v>26.55</v>
      </c>
      <c r="F1547" s="1">
        <f>IFERROR(__xludf.DUMMYFUNCTION("""COMPUTED_VALUE"""),613012.0)</f>
        <v>613012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IFERROR(__xludf.DUMMYFUNCTION("""COMPUTED_VALUE"""),26.67)</f>
        <v>26.67</v>
      </c>
      <c r="C1548" s="1">
        <f>IFERROR(__xludf.DUMMYFUNCTION("""COMPUTED_VALUE"""),27.11)</f>
        <v>27.11</v>
      </c>
      <c r="D1548" s="1">
        <f>IFERROR(__xludf.DUMMYFUNCTION("""COMPUTED_VALUE"""),26.55)</f>
        <v>26.55</v>
      </c>
      <c r="E1548" s="1">
        <f>IFERROR(__xludf.DUMMYFUNCTION("""COMPUTED_VALUE"""),27.06)</f>
        <v>27.06</v>
      </c>
      <c r="F1548" s="1">
        <f>IFERROR(__xludf.DUMMYFUNCTION("""COMPUTED_VALUE"""),336333.0)</f>
        <v>336333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IFERROR(__xludf.DUMMYFUNCTION("""COMPUTED_VALUE"""),27.15)</f>
        <v>27.15</v>
      </c>
      <c r="C1549" s="1">
        <f>IFERROR(__xludf.DUMMYFUNCTION("""COMPUTED_VALUE"""),27.6)</f>
        <v>27.6</v>
      </c>
      <c r="D1549" s="1">
        <f>IFERROR(__xludf.DUMMYFUNCTION("""COMPUTED_VALUE"""),27.05)</f>
        <v>27.05</v>
      </c>
      <c r="E1549" s="1">
        <f>IFERROR(__xludf.DUMMYFUNCTION("""COMPUTED_VALUE"""),27.4)</f>
        <v>27.4</v>
      </c>
      <c r="F1549" s="1">
        <f>IFERROR(__xludf.DUMMYFUNCTION("""COMPUTED_VALUE"""),305936.0)</f>
        <v>305936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IFERROR(__xludf.DUMMYFUNCTION("""COMPUTED_VALUE"""),27.4)</f>
        <v>27.4</v>
      </c>
      <c r="C1550" s="1">
        <f>IFERROR(__xludf.DUMMYFUNCTION("""COMPUTED_VALUE"""),27.4)</f>
        <v>27.4</v>
      </c>
      <c r="D1550" s="1">
        <f>IFERROR(__xludf.DUMMYFUNCTION("""COMPUTED_VALUE"""),26.68)</f>
        <v>26.68</v>
      </c>
      <c r="E1550" s="1">
        <f>IFERROR(__xludf.DUMMYFUNCTION("""COMPUTED_VALUE"""),26.69)</f>
        <v>26.69</v>
      </c>
      <c r="F1550" s="1">
        <f>IFERROR(__xludf.DUMMYFUNCTION("""COMPUTED_VALUE"""),477811.0)</f>
        <v>477811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IFERROR(__xludf.DUMMYFUNCTION("""COMPUTED_VALUE"""),26.88)</f>
        <v>26.88</v>
      </c>
      <c r="C1551" s="1">
        <f>IFERROR(__xludf.DUMMYFUNCTION("""COMPUTED_VALUE"""),27.72)</f>
        <v>27.72</v>
      </c>
      <c r="D1551" s="1">
        <f>IFERROR(__xludf.DUMMYFUNCTION("""COMPUTED_VALUE"""),26.75)</f>
        <v>26.75</v>
      </c>
      <c r="E1551" s="1">
        <f>IFERROR(__xludf.DUMMYFUNCTION("""COMPUTED_VALUE"""),27.67)</f>
        <v>27.67</v>
      </c>
      <c r="F1551" s="1">
        <f>IFERROR(__xludf.DUMMYFUNCTION("""COMPUTED_VALUE"""),519431.0)</f>
        <v>519431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IFERROR(__xludf.DUMMYFUNCTION("""COMPUTED_VALUE"""),27.59)</f>
        <v>27.59</v>
      </c>
      <c r="C1552" s="1">
        <f>IFERROR(__xludf.DUMMYFUNCTION("""COMPUTED_VALUE"""),28.14)</f>
        <v>28.14</v>
      </c>
      <c r="D1552" s="1">
        <f>IFERROR(__xludf.DUMMYFUNCTION("""COMPUTED_VALUE"""),27.36)</f>
        <v>27.36</v>
      </c>
      <c r="E1552" s="1">
        <f>IFERROR(__xludf.DUMMYFUNCTION("""COMPUTED_VALUE"""),28.13)</f>
        <v>28.13</v>
      </c>
      <c r="F1552" s="1">
        <f>IFERROR(__xludf.DUMMYFUNCTION("""COMPUTED_VALUE"""),360673.0)</f>
        <v>360673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IFERROR(__xludf.DUMMYFUNCTION("""COMPUTED_VALUE"""),28.03)</f>
        <v>28.03</v>
      </c>
      <c r="C1553" s="1">
        <f>IFERROR(__xludf.DUMMYFUNCTION("""COMPUTED_VALUE"""),28.49)</f>
        <v>28.49</v>
      </c>
      <c r="D1553" s="1">
        <f>IFERROR(__xludf.DUMMYFUNCTION("""COMPUTED_VALUE"""),27.89)</f>
        <v>27.89</v>
      </c>
      <c r="E1553" s="1">
        <f>IFERROR(__xludf.DUMMYFUNCTION("""COMPUTED_VALUE"""),28.48)</f>
        <v>28.48</v>
      </c>
      <c r="F1553" s="1">
        <f>IFERROR(__xludf.DUMMYFUNCTION("""COMPUTED_VALUE"""),323077.0)</f>
        <v>323077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IFERROR(__xludf.DUMMYFUNCTION("""COMPUTED_VALUE"""),28.66)</f>
        <v>28.66</v>
      </c>
      <c r="C1554" s="1">
        <f>IFERROR(__xludf.DUMMYFUNCTION("""COMPUTED_VALUE"""),28.74)</f>
        <v>28.74</v>
      </c>
      <c r="D1554" s="1">
        <f>IFERROR(__xludf.DUMMYFUNCTION("""COMPUTED_VALUE"""),28.25)</f>
        <v>28.25</v>
      </c>
      <c r="E1554" s="1">
        <f>IFERROR(__xludf.DUMMYFUNCTION("""COMPUTED_VALUE"""),28.73)</f>
        <v>28.73</v>
      </c>
      <c r="F1554" s="1">
        <f>IFERROR(__xludf.DUMMYFUNCTION("""COMPUTED_VALUE"""),395729.0)</f>
        <v>395729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IFERROR(__xludf.DUMMYFUNCTION("""COMPUTED_VALUE"""),28.66)</f>
        <v>28.66</v>
      </c>
      <c r="C1555" s="1">
        <f>IFERROR(__xludf.DUMMYFUNCTION("""COMPUTED_VALUE"""),28.91)</f>
        <v>28.91</v>
      </c>
      <c r="D1555" s="1">
        <f>IFERROR(__xludf.DUMMYFUNCTION("""COMPUTED_VALUE"""),28.48)</f>
        <v>28.48</v>
      </c>
      <c r="E1555" s="1">
        <f>IFERROR(__xludf.DUMMYFUNCTION("""COMPUTED_VALUE"""),28.87)</f>
        <v>28.87</v>
      </c>
      <c r="F1555" s="1">
        <f>IFERROR(__xludf.DUMMYFUNCTION("""COMPUTED_VALUE"""),265619.0)</f>
        <v>265619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IFERROR(__xludf.DUMMYFUNCTION("""COMPUTED_VALUE"""),28.68)</f>
        <v>28.68</v>
      </c>
      <c r="C1556" s="1">
        <f>IFERROR(__xludf.DUMMYFUNCTION("""COMPUTED_VALUE"""),28.73)</f>
        <v>28.73</v>
      </c>
      <c r="D1556" s="1">
        <f>IFERROR(__xludf.DUMMYFUNCTION("""COMPUTED_VALUE"""),28.06)</f>
        <v>28.06</v>
      </c>
      <c r="E1556" s="1">
        <f>IFERROR(__xludf.DUMMYFUNCTION("""COMPUTED_VALUE"""),28.09)</f>
        <v>28.09</v>
      </c>
      <c r="F1556" s="1">
        <f>IFERROR(__xludf.DUMMYFUNCTION("""COMPUTED_VALUE"""),359385.0)</f>
        <v>359385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IFERROR(__xludf.DUMMYFUNCTION("""COMPUTED_VALUE"""),28.31)</f>
        <v>28.31</v>
      </c>
      <c r="C1557" s="1">
        <f>IFERROR(__xludf.DUMMYFUNCTION("""COMPUTED_VALUE"""),28.33)</f>
        <v>28.33</v>
      </c>
      <c r="D1557" s="1">
        <f>IFERROR(__xludf.DUMMYFUNCTION("""COMPUTED_VALUE"""),27.69)</f>
        <v>27.69</v>
      </c>
      <c r="E1557" s="1">
        <f>IFERROR(__xludf.DUMMYFUNCTION("""COMPUTED_VALUE"""),27.83)</f>
        <v>27.83</v>
      </c>
      <c r="F1557" s="1">
        <f>IFERROR(__xludf.DUMMYFUNCTION("""COMPUTED_VALUE"""),274132.0)</f>
        <v>274132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IFERROR(__xludf.DUMMYFUNCTION("""COMPUTED_VALUE"""),28.0)</f>
        <v>28</v>
      </c>
      <c r="C1558" s="1">
        <f>IFERROR(__xludf.DUMMYFUNCTION("""COMPUTED_VALUE"""),28.37)</f>
        <v>28.37</v>
      </c>
      <c r="D1558" s="1">
        <f>IFERROR(__xludf.DUMMYFUNCTION("""COMPUTED_VALUE"""),27.72)</f>
        <v>27.72</v>
      </c>
      <c r="E1558" s="1">
        <f>IFERROR(__xludf.DUMMYFUNCTION("""COMPUTED_VALUE"""),28.25)</f>
        <v>28.25</v>
      </c>
      <c r="F1558" s="1">
        <f>IFERROR(__xludf.DUMMYFUNCTION("""COMPUTED_VALUE"""),382350.0)</f>
        <v>382350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IFERROR(__xludf.DUMMYFUNCTION("""COMPUTED_VALUE"""),28.48)</f>
        <v>28.48</v>
      </c>
      <c r="C1559" s="1">
        <f>IFERROR(__xludf.DUMMYFUNCTION("""COMPUTED_VALUE"""),28.91)</f>
        <v>28.91</v>
      </c>
      <c r="D1559" s="1">
        <f>IFERROR(__xludf.DUMMYFUNCTION("""COMPUTED_VALUE"""),28.02)</f>
        <v>28.02</v>
      </c>
      <c r="E1559" s="1">
        <f>IFERROR(__xludf.DUMMYFUNCTION("""COMPUTED_VALUE"""),28.85)</f>
        <v>28.85</v>
      </c>
      <c r="F1559" s="1">
        <f>IFERROR(__xludf.DUMMYFUNCTION("""COMPUTED_VALUE"""),310523.0)</f>
        <v>310523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IFERROR(__xludf.DUMMYFUNCTION("""COMPUTED_VALUE"""),28.76)</f>
        <v>28.76</v>
      </c>
      <c r="C1560" s="1">
        <f>IFERROR(__xludf.DUMMYFUNCTION("""COMPUTED_VALUE"""),28.76)</f>
        <v>28.76</v>
      </c>
      <c r="D1560" s="1">
        <f>IFERROR(__xludf.DUMMYFUNCTION("""COMPUTED_VALUE"""),28.24)</f>
        <v>28.24</v>
      </c>
      <c r="E1560" s="1">
        <f>IFERROR(__xludf.DUMMYFUNCTION("""COMPUTED_VALUE"""),28.47)</f>
        <v>28.47</v>
      </c>
      <c r="F1560" s="1">
        <f>IFERROR(__xludf.DUMMYFUNCTION("""COMPUTED_VALUE"""),275219.0)</f>
        <v>275219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IFERROR(__xludf.DUMMYFUNCTION("""COMPUTED_VALUE"""),28.24)</f>
        <v>28.24</v>
      </c>
      <c r="C1561" s="1">
        <f>IFERROR(__xludf.DUMMYFUNCTION("""COMPUTED_VALUE"""),28.3)</f>
        <v>28.3</v>
      </c>
      <c r="D1561" s="1">
        <f>IFERROR(__xludf.DUMMYFUNCTION("""COMPUTED_VALUE"""),28.0)</f>
        <v>28</v>
      </c>
      <c r="E1561" s="1">
        <f>IFERROR(__xludf.DUMMYFUNCTION("""COMPUTED_VALUE"""),28.06)</f>
        <v>28.06</v>
      </c>
      <c r="F1561" s="1">
        <f>IFERROR(__xludf.DUMMYFUNCTION("""COMPUTED_VALUE"""),258589.0)</f>
        <v>258589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IFERROR(__xludf.DUMMYFUNCTION("""COMPUTED_VALUE"""),27.89)</f>
        <v>27.89</v>
      </c>
      <c r="C1562" s="1">
        <f>IFERROR(__xludf.DUMMYFUNCTION("""COMPUTED_VALUE"""),28.29)</f>
        <v>28.29</v>
      </c>
      <c r="D1562" s="1">
        <f>IFERROR(__xludf.DUMMYFUNCTION("""COMPUTED_VALUE"""),27.57)</f>
        <v>27.57</v>
      </c>
      <c r="E1562" s="1">
        <f>IFERROR(__xludf.DUMMYFUNCTION("""COMPUTED_VALUE"""),27.76)</f>
        <v>27.76</v>
      </c>
      <c r="F1562" s="1">
        <f>IFERROR(__xludf.DUMMYFUNCTION("""COMPUTED_VALUE"""),302244.0)</f>
        <v>302244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IFERROR(__xludf.DUMMYFUNCTION("""COMPUTED_VALUE"""),27.69)</f>
        <v>27.69</v>
      </c>
      <c r="C1563" s="1">
        <f>IFERROR(__xludf.DUMMYFUNCTION("""COMPUTED_VALUE"""),28.17)</f>
        <v>28.17</v>
      </c>
      <c r="D1563" s="1">
        <f>IFERROR(__xludf.DUMMYFUNCTION("""COMPUTED_VALUE"""),27.23)</f>
        <v>27.23</v>
      </c>
      <c r="E1563" s="1">
        <f>IFERROR(__xludf.DUMMYFUNCTION("""COMPUTED_VALUE"""),28.05)</f>
        <v>28.05</v>
      </c>
      <c r="F1563" s="1">
        <f>IFERROR(__xludf.DUMMYFUNCTION("""COMPUTED_VALUE"""),269570.0)</f>
        <v>269570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IFERROR(__xludf.DUMMYFUNCTION("""COMPUTED_VALUE"""),28.13)</f>
        <v>28.13</v>
      </c>
      <c r="C1564" s="1">
        <f>IFERROR(__xludf.DUMMYFUNCTION("""COMPUTED_VALUE"""),28.68)</f>
        <v>28.68</v>
      </c>
      <c r="D1564" s="1">
        <f>IFERROR(__xludf.DUMMYFUNCTION("""COMPUTED_VALUE"""),28.07)</f>
        <v>28.07</v>
      </c>
      <c r="E1564" s="1">
        <f>IFERROR(__xludf.DUMMYFUNCTION("""COMPUTED_VALUE"""),28.55)</f>
        <v>28.55</v>
      </c>
      <c r="F1564" s="1">
        <f>IFERROR(__xludf.DUMMYFUNCTION("""COMPUTED_VALUE"""),1081161.0)</f>
        <v>1081161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IFERROR(__xludf.DUMMYFUNCTION("""COMPUTED_VALUE"""),28.69)</f>
        <v>28.69</v>
      </c>
      <c r="C1565" s="1">
        <f>IFERROR(__xludf.DUMMYFUNCTION("""COMPUTED_VALUE"""),28.71)</f>
        <v>28.71</v>
      </c>
      <c r="D1565" s="1">
        <f>IFERROR(__xludf.DUMMYFUNCTION("""COMPUTED_VALUE"""),28.24)</f>
        <v>28.24</v>
      </c>
      <c r="E1565" s="1">
        <f>IFERROR(__xludf.DUMMYFUNCTION("""COMPUTED_VALUE"""),28.42)</f>
        <v>28.42</v>
      </c>
      <c r="F1565" s="1">
        <f>IFERROR(__xludf.DUMMYFUNCTION("""COMPUTED_VALUE"""),511147.0)</f>
        <v>511147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IFERROR(__xludf.DUMMYFUNCTION("""COMPUTED_VALUE"""),28.2)</f>
        <v>28.2</v>
      </c>
      <c r="C1566" s="1">
        <f>IFERROR(__xludf.DUMMYFUNCTION("""COMPUTED_VALUE"""),28.59)</f>
        <v>28.59</v>
      </c>
      <c r="D1566" s="1">
        <f>IFERROR(__xludf.DUMMYFUNCTION("""COMPUTED_VALUE"""),27.73)</f>
        <v>27.73</v>
      </c>
      <c r="E1566" s="1">
        <f>IFERROR(__xludf.DUMMYFUNCTION("""COMPUTED_VALUE"""),28.46)</f>
        <v>28.46</v>
      </c>
      <c r="F1566" s="1">
        <f>IFERROR(__xludf.DUMMYFUNCTION("""COMPUTED_VALUE"""),437842.0)</f>
        <v>437842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IFERROR(__xludf.DUMMYFUNCTION("""COMPUTED_VALUE"""),28.4)</f>
        <v>28.4</v>
      </c>
      <c r="C1567" s="1">
        <f>IFERROR(__xludf.DUMMYFUNCTION("""COMPUTED_VALUE"""),28.42)</f>
        <v>28.42</v>
      </c>
      <c r="D1567" s="1">
        <f>IFERROR(__xludf.DUMMYFUNCTION("""COMPUTED_VALUE"""),27.97)</f>
        <v>27.97</v>
      </c>
      <c r="E1567" s="1">
        <f>IFERROR(__xludf.DUMMYFUNCTION("""COMPUTED_VALUE"""),27.97)</f>
        <v>27.97</v>
      </c>
      <c r="F1567" s="1">
        <f>IFERROR(__xludf.DUMMYFUNCTION("""COMPUTED_VALUE"""),200700.0)</f>
        <v>200700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IFERROR(__xludf.DUMMYFUNCTION("""COMPUTED_VALUE"""),27.7)</f>
        <v>27.7</v>
      </c>
      <c r="C1568" s="1">
        <f>IFERROR(__xludf.DUMMYFUNCTION("""COMPUTED_VALUE"""),27.87)</f>
        <v>27.87</v>
      </c>
      <c r="D1568" s="1">
        <f>IFERROR(__xludf.DUMMYFUNCTION("""COMPUTED_VALUE"""),27.46)</f>
        <v>27.46</v>
      </c>
      <c r="E1568" s="1">
        <f>IFERROR(__xludf.DUMMYFUNCTION("""COMPUTED_VALUE"""),27.84)</f>
        <v>27.84</v>
      </c>
      <c r="F1568" s="1">
        <f>IFERROR(__xludf.DUMMYFUNCTION("""COMPUTED_VALUE"""),297630.0)</f>
        <v>297630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IFERROR(__xludf.DUMMYFUNCTION("""COMPUTED_VALUE"""),28.01)</f>
        <v>28.01</v>
      </c>
      <c r="C1569" s="1">
        <f>IFERROR(__xludf.DUMMYFUNCTION("""COMPUTED_VALUE"""),28.14)</f>
        <v>28.14</v>
      </c>
      <c r="D1569" s="1">
        <f>IFERROR(__xludf.DUMMYFUNCTION("""COMPUTED_VALUE"""),27.63)</f>
        <v>27.63</v>
      </c>
      <c r="E1569" s="1">
        <f>IFERROR(__xludf.DUMMYFUNCTION("""COMPUTED_VALUE"""),27.83)</f>
        <v>27.83</v>
      </c>
      <c r="F1569" s="1">
        <f>IFERROR(__xludf.DUMMYFUNCTION("""COMPUTED_VALUE"""),285358.0)</f>
        <v>285358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IFERROR(__xludf.DUMMYFUNCTION("""COMPUTED_VALUE"""),27.66)</f>
        <v>27.66</v>
      </c>
      <c r="C1570" s="1">
        <f>IFERROR(__xludf.DUMMYFUNCTION("""COMPUTED_VALUE"""),28.21)</f>
        <v>28.21</v>
      </c>
      <c r="D1570" s="1">
        <f>IFERROR(__xludf.DUMMYFUNCTION("""COMPUTED_VALUE"""),27.33)</f>
        <v>27.33</v>
      </c>
      <c r="E1570" s="1">
        <f>IFERROR(__xludf.DUMMYFUNCTION("""COMPUTED_VALUE"""),28.15)</f>
        <v>28.15</v>
      </c>
      <c r="F1570" s="1">
        <f>IFERROR(__xludf.DUMMYFUNCTION("""COMPUTED_VALUE"""),519349.0)</f>
        <v>519349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IFERROR(__xludf.DUMMYFUNCTION("""COMPUTED_VALUE"""),28.38)</f>
        <v>28.38</v>
      </c>
      <c r="C1571" s="1">
        <f>IFERROR(__xludf.DUMMYFUNCTION("""COMPUTED_VALUE"""),28.78)</f>
        <v>28.78</v>
      </c>
      <c r="D1571" s="1">
        <f>IFERROR(__xludf.DUMMYFUNCTION("""COMPUTED_VALUE"""),28.24)</f>
        <v>28.24</v>
      </c>
      <c r="E1571" s="1">
        <f>IFERROR(__xludf.DUMMYFUNCTION("""COMPUTED_VALUE"""),28.52)</f>
        <v>28.52</v>
      </c>
      <c r="F1571" s="1">
        <f>IFERROR(__xludf.DUMMYFUNCTION("""COMPUTED_VALUE"""),423984.0)</f>
        <v>423984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IFERROR(__xludf.DUMMYFUNCTION("""COMPUTED_VALUE"""),28.42)</f>
        <v>28.42</v>
      </c>
      <c r="C1572" s="1">
        <f>IFERROR(__xludf.DUMMYFUNCTION("""COMPUTED_VALUE"""),28.69)</f>
        <v>28.69</v>
      </c>
      <c r="D1572" s="1">
        <f>IFERROR(__xludf.DUMMYFUNCTION("""COMPUTED_VALUE"""),27.92)</f>
        <v>27.92</v>
      </c>
      <c r="E1572" s="1">
        <f>IFERROR(__xludf.DUMMYFUNCTION("""COMPUTED_VALUE"""),28.33)</f>
        <v>28.33</v>
      </c>
      <c r="F1572" s="1">
        <f>IFERROR(__xludf.DUMMYFUNCTION("""COMPUTED_VALUE"""),427232.0)</f>
        <v>427232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IFERROR(__xludf.DUMMYFUNCTION("""COMPUTED_VALUE"""),28.13)</f>
        <v>28.13</v>
      </c>
      <c r="C1573" s="1">
        <f>IFERROR(__xludf.DUMMYFUNCTION("""COMPUTED_VALUE"""),28.58)</f>
        <v>28.58</v>
      </c>
      <c r="D1573" s="1">
        <f>IFERROR(__xludf.DUMMYFUNCTION("""COMPUTED_VALUE"""),27.86)</f>
        <v>27.86</v>
      </c>
      <c r="E1573" s="1">
        <f>IFERROR(__xludf.DUMMYFUNCTION("""COMPUTED_VALUE"""),28.58)</f>
        <v>28.58</v>
      </c>
      <c r="F1573" s="1">
        <f>IFERROR(__xludf.DUMMYFUNCTION("""COMPUTED_VALUE"""),328802.0)</f>
        <v>328802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IFERROR(__xludf.DUMMYFUNCTION("""COMPUTED_VALUE"""),28.61)</f>
        <v>28.61</v>
      </c>
      <c r="C1574" s="1">
        <f>IFERROR(__xludf.DUMMYFUNCTION("""COMPUTED_VALUE"""),28.61)</f>
        <v>28.61</v>
      </c>
      <c r="D1574" s="1">
        <f>IFERROR(__xludf.DUMMYFUNCTION("""COMPUTED_VALUE"""),28.26)</f>
        <v>28.26</v>
      </c>
      <c r="E1574" s="1">
        <f>IFERROR(__xludf.DUMMYFUNCTION("""COMPUTED_VALUE"""),28.44)</f>
        <v>28.44</v>
      </c>
      <c r="F1574" s="1">
        <f>IFERROR(__xludf.DUMMYFUNCTION("""COMPUTED_VALUE"""),225045.0)</f>
        <v>225045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IFERROR(__xludf.DUMMYFUNCTION("""COMPUTED_VALUE"""),28.07)</f>
        <v>28.07</v>
      </c>
      <c r="C1575" s="1">
        <f>IFERROR(__xludf.DUMMYFUNCTION("""COMPUTED_VALUE"""),28.18)</f>
        <v>28.18</v>
      </c>
      <c r="D1575" s="1">
        <f>IFERROR(__xludf.DUMMYFUNCTION("""COMPUTED_VALUE"""),27.63)</f>
        <v>27.63</v>
      </c>
      <c r="E1575" s="1">
        <f>IFERROR(__xludf.DUMMYFUNCTION("""COMPUTED_VALUE"""),27.66)</f>
        <v>27.66</v>
      </c>
      <c r="F1575" s="1">
        <f>IFERROR(__xludf.DUMMYFUNCTION("""COMPUTED_VALUE"""),302897.0)</f>
        <v>302897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IFERROR(__xludf.DUMMYFUNCTION("""COMPUTED_VALUE"""),27.72)</f>
        <v>27.72</v>
      </c>
      <c r="C1576" s="1">
        <f>IFERROR(__xludf.DUMMYFUNCTION("""COMPUTED_VALUE"""),28.64)</f>
        <v>28.64</v>
      </c>
      <c r="D1576" s="1">
        <f>IFERROR(__xludf.DUMMYFUNCTION("""COMPUTED_VALUE"""),27.45)</f>
        <v>27.45</v>
      </c>
      <c r="E1576" s="1">
        <f>IFERROR(__xludf.DUMMYFUNCTION("""COMPUTED_VALUE"""),28.63)</f>
        <v>28.63</v>
      </c>
      <c r="F1576" s="1">
        <f>IFERROR(__xludf.DUMMYFUNCTION("""COMPUTED_VALUE"""),830178.0)</f>
        <v>830178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IFERROR(__xludf.DUMMYFUNCTION("""COMPUTED_VALUE"""),28.35)</f>
        <v>28.35</v>
      </c>
      <c r="C1577" s="1">
        <f>IFERROR(__xludf.DUMMYFUNCTION("""COMPUTED_VALUE"""),28.88)</f>
        <v>28.88</v>
      </c>
      <c r="D1577" s="1">
        <f>IFERROR(__xludf.DUMMYFUNCTION("""COMPUTED_VALUE"""),28.15)</f>
        <v>28.15</v>
      </c>
      <c r="E1577" s="1">
        <f>IFERROR(__xludf.DUMMYFUNCTION("""COMPUTED_VALUE"""),28.41)</f>
        <v>28.41</v>
      </c>
      <c r="F1577" s="1">
        <f>IFERROR(__xludf.DUMMYFUNCTION("""COMPUTED_VALUE"""),1892485.0)</f>
        <v>1892485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IFERROR(__xludf.DUMMYFUNCTION("""COMPUTED_VALUE"""),28.66)</f>
        <v>28.66</v>
      </c>
      <c r="C1578" s="1">
        <f>IFERROR(__xludf.DUMMYFUNCTION("""COMPUTED_VALUE"""),29.22)</f>
        <v>29.22</v>
      </c>
      <c r="D1578" s="1">
        <f>IFERROR(__xludf.DUMMYFUNCTION("""COMPUTED_VALUE"""),28.61)</f>
        <v>28.61</v>
      </c>
      <c r="E1578" s="1">
        <f>IFERROR(__xludf.DUMMYFUNCTION("""COMPUTED_VALUE"""),28.74)</f>
        <v>28.74</v>
      </c>
      <c r="F1578" s="1">
        <f>IFERROR(__xludf.DUMMYFUNCTION("""COMPUTED_VALUE"""),560170.0)</f>
        <v>560170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IFERROR(__xludf.DUMMYFUNCTION("""COMPUTED_VALUE"""),28.87)</f>
        <v>28.87</v>
      </c>
      <c r="C1579" s="1">
        <f>IFERROR(__xludf.DUMMYFUNCTION("""COMPUTED_VALUE"""),29.49)</f>
        <v>29.49</v>
      </c>
      <c r="D1579" s="1">
        <f>IFERROR(__xludf.DUMMYFUNCTION("""COMPUTED_VALUE"""),28.64)</f>
        <v>28.64</v>
      </c>
      <c r="E1579" s="1">
        <f>IFERROR(__xludf.DUMMYFUNCTION("""COMPUTED_VALUE"""),29.13)</f>
        <v>29.13</v>
      </c>
      <c r="F1579" s="1">
        <f>IFERROR(__xludf.DUMMYFUNCTION("""COMPUTED_VALUE"""),459780.0)</f>
        <v>459780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IFERROR(__xludf.DUMMYFUNCTION("""COMPUTED_VALUE"""),29.11)</f>
        <v>29.11</v>
      </c>
      <c r="C1580" s="1">
        <f>IFERROR(__xludf.DUMMYFUNCTION("""COMPUTED_VALUE"""),29.63)</f>
        <v>29.63</v>
      </c>
      <c r="D1580" s="1">
        <f>IFERROR(__xludf.DUMMYFUNCTION("""COMPUTED_VALUE"""),28.97)</f>
        <v>28.97</v>
      </c>
      <c r="E1580" s="1">
        <f>IFERROR(__xludf.DUMMYFUNCTION("""COMPUTED_VALUE"""),29.59)</f>
        <v>29.59</v>
      </c>
      <c r="F1580" s="1">
        <f>IFERROR(__xludf.DUMMYFUNCTION("""COMPUTED_VALUE"""),581428.0)</f>
        <v>581428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IFERROR(__xludf.DUMMYFUNCTION("""COMPUTED_VALUE"""),29.9)</f>
        <v>29.9</v>
      </c>
      <c r="C1581" s="1">
        <f>IFERROR(__xludf.DUMMYFUNCTION("""COMPUTED_VALUE"""),30.65)</f>
        <v>30.65</v>
      </c>
      <c r="D1581" s="1">
        <f>IFERROR(__xludf.DUMMYFUNCTION("""COMPUTED_VALUE"""),29.85)</f>
        <v>29.85</v>
      </c>
      <c r="E1581" s="1">
        <f>IFERROR(__xludf.DUMMYFUNCTION("""COMPUTED_VALUE"""),30.46)</f>
        <v>30.46</v>
      </c>
      <c r="F1581" s="1">
        <f>IFERROR(__xludf.DUMMYFUNCTION("""COMPUTED_VALUE"""),513493.0)</f>
        <v>513493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IFERROR(__xludf.DUMMYFUNCTION("""COMPUTED_VALUE"""),30.24)</f>
        <v>30.24</v>
      </c>
      <c r="C1582" s="1">
        <f>IFERROR(__xludf.DUMMYFUNCTION("""COMPUTED_VALUE"""),31.01)</f>
        <v>31.01</v>
      </c>
      <c r="D1582" s="1">
        <f>IFERROR(__xludf.DUMMYFUNCTION("""COMPUTED_VALUE"""),30.19)</f>
        <v>30.19</v>
      </c>
      <c r="E1582" s="1">
        <f>IFERROR(__xludf.DUMMYFUNCTION("""COMPUTED_VALUE"""),30.61)</f>
        <v>30.61</v>
      </c>
      <c r="F1582" s="1">
        <f>IFERROR(__xludf.DUMMYFUNCTION("""COMPUTED_VALUE"""),284563.0)</f>
        <v>284563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IFERROR(__xludf.DUMMYFUNCTION("""COMPUTED_VALUE"""),30.35)</f>
        <v>30.35</v>
      </c>
      <c r="C1583" s="1">
        <f>IFERROR(__xludf.DUMMYFUNCTION("""COMPUTED_VALUE"""),30.57)</f>
        <v>30.57</v>
      </c>
      <c r="D1583" s="1">
        <f>IFERROR(__xludf.DUMMYFUNCTION("""COMPUTED_VALUE"""),30.03)</f>
        <v>30.03</v>
      </c>
      <c r="E1583" s="1">
        <f>IFERROR(__xludf.DUMMYFUNCTION("""COMPUTED_VALUE"""),30.29)</f>
        <v>30.29</v>
      </c>
      <c r="F1583" s="1">
        <f>IFERROR(__xludf.DUMMYFUNCTION("""COMPUTED_VALUE"""),555497.0)</f>
        <v>555497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IFERROR(__xludf.DUMMYFUNCTION("""COMPUTED_VALUE"""),30.02)</f>
        <v>30.02</v>
      </c>
      <c r="C1584" s="1">
        <f>IFERROR(__xludf.DUMMYFUNCTION("""COMPUTED_VALUE"""),30.62)</f>
        <v>30.62</v>
      </c>
      <c r="D1584" s="1">
        <f>IFERROR(__xludf.DUMMYFUNCTION("""COMPUTED_VALUE"""),30.02)</f>
        <v>30.02</v>
      </c>
      <c r="E1584" s="1">
        <f>IFERROR(__xludf.DUMMYFUNCTION("""COMPUTED_VALUE"""),30.52)</f>
        <v>30.52</v>
      </c>
      <c r="F1584" s="1">
        <f>IFERROR(__xludf.DUMMYFUNCTION("""COMPUTED_VALUE"""),285059.0)</f>
        <v>285059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IFERROR(__xludf.DUMMYFUNCTION("""COMPUTED_VALUE"""),30.52)</f>
        <v>30.52</v>
      </c>
      <c r="C1585" s="1">
        <f>IFERROR(__xludf.DUMMYFUNCTION("""COMPUTED_VALUE"""),31.0)</f>
        <v>31</v>
      </c>
      <c r="D1585" s="1">
        <f>IFERROR(__xludf.DUMMYFUNCTION("""COMPUTED_VALUE"""),30.52)</f>
        <v>30.52</v>
      </c>
      <c r="E1585" s="1">
        <f>IFERROR(__xludf.DUMMYFUNCTION("""COMPUTED_VALUE"""),30.93)</f>
        <v>30.93</v>
      </c>
      <c r="F1585" s="1">
        <f>IFERROR(__xludf.DUMMYFUNCTION("""COMPUTED_VALUE"""),304145.0)</f>
        <v>304145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IFERROR(__xludf.DUMMYFUNCTION("""COMPUTED_VALUE"""),30.92)</f>
        <v>30.92</v>
      </c>
      <c r="C1586" s="1">
        <f>IFERROR(__xludf.DUMMYFUNCTION("""COMPUTED_VALUE"""),31.24)</f>
        <v>31.24</v>
      </c>
      <c r="D1586" s="1">
        <f>IFERROR(__xludf.DUMMYFUNCTION("""COMPUTED_VALUE"""),30.69)</f>
        <v>30.69</v>
      </c>
      <c r="E1586" s="1">
        <f>IFERROR(__xludf.DUMMYFUNCTION("""COMPUTED_VALUE"""),31.1)</f>
        <v>31.1</v>
      </c>
      <c r="F1586" s="1">
        <f>IFERROR(__xludf.DUMMYFUNCTION("""COMPUTED_VALUE"""),391841.0)</f>
        <v>391841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IFERROR(__xludf.DUMMYFUNCTION("""COMPUTED_VALUE"""),32.0)</f>
        <v>32</v>
      </c>
      <c r="C1587" s="1">
        <f>IFERROR(__xludf.DUMMYFUNCTION("""COMPUTED_VALUE"""),32.63)</f>
        <v>32.63</v>
      </c>
      <c r="D1587" s="1">
        <f>IFERROR(__xludf.DUMMYFUNCTION("""COMPUTED_VALUE"""),30.86)</f>
        <v>30.86</v>
      </c>
      <c r="E1587" s="1">
        <f>IFERROR(__xludf.DUMMYFUNCTION("""COMPUTED_VALUE"""),30.98)</f>
        <v>30.98</v>
      </c>
      <c r="F1587" s="1">
        <f>IFERROR(__xludf.DUMMYFUNCTION("""COMPUTED_VALUE"""),1114309.0)</f>
        <v>1114309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IFERROR(__xludf.DUMMYFUNCTION("""COMPUTED_VALUE"""),30.85)</f>
        <v>30.85</v>
      </c>
      <c r="C1588" s="1">
        <f>IFERROR(__xludf.DUMMYFUNCTION("""COMPUTED_VALUE"""),31.45)</f>
        <v>31.45</v>
      </c>
      <c r="D1588" s="1">
        <f>IFERROR(__xludf.DUMMYFUNCTION("""COMPUTED_VALUE"""),30.26)</f>
        <v>30.26</v>
      </c>
      <c r="E1588" s="1">
        <f>IFERROR(__xludf.DUMMYFUNCTION("""COMPUTED_VALUE"""),31.25)</f>
        <v>31.25</v>
      </c>
      <c r="F1588" s="1">
        <f>IFERROR(__xludf.DUMMYFUNCTION("""COMPUTED_VALUE"""),621240.0)</f>
        <v>621240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IFERROR(__xludf.DUMMYFUNCTION("""COMPUTED_VALUE"""),31.2)</f>
        <v>31.2</v>
      </c>
      <c r="C1589" s="1">
        <f>IFERROR(__xludf.DUMMYFUNCTION("""COMPUTED_VALUE"""),31.39)</f>
        <v>31.39</v>
      </c>
      <c r="D1589" s="1">
        <f>IFERROR(__xludf.DUMMYFUNCTION("""COMPUTED_VALUE"""),30.72)</f>
        <v>30.72</v>
      </c>
      <c r="E1589" s="1">
        <f>IFERROR(__xludf.DUMMYFUNCTION("""COMPUTED_VALUE"""),31.0)</f>
        <v>31</v>
      </c>
      <c r="F1589" s="1">
        <f>IFERROR(__xludf.DUMMYFUNCTION("""COMPUTED_VALUE"""),309077.0)</f>
        <v>309077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IFERROR(__xludf.DUMMYFUNCTION("""COMPUTED_VALUE"""),31.1)</f>
        <v>31.1</v>
      </c>
      <c r="C1590" s="1">
        <f>IFERROR(__xludf.DUMMYFUNCTION("""COMPUTED_VALUE"""),31.41)</f>
        <v>31.41</v>
      </c>
      <c r="D1590" s="1">
        <f>IFERROR(__xludf.DUMMYFUNCTION("""COMPUTED_VALUE"""),30.98)</f>
        <v>30.98</v>
      </c>
      <c r="E1590" s="1">
        <f>IFERROR(__xludf.DUMMYFUNCTION("""COMPUTED_VALUE"""),31.22)</f>
        <v>31.22</v>
      </c>
      <c r="F1590" s="1">
        <f>IFERROR(__xludf.DUMMYFUNCTION("""COMPUTED_VALUE"""),407828.0)</f>
        <v>407828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IFERROR(__xludf.DUMMYFUNCTION("""COMPUTED_VALUE"""),31.1)</f>
        <v>31.1</v>
      </c>
      <c r="C1591" s="1">
        <f>IFERROR(__xludf.DUMMYFUNCTION("""COMPUTED_VALUE"""),31.39)</f>
        <v>31.39</v>
      </c>
      <c r="D1591" s="1">
        <f>IFERROR(__xludf.DUMMYFUNCTION("""COMPUTED_VALUE"""),30.82)</f>
        <v>30.82</v>
      </c>
      <c r="E1591" s="1">
        <f>IFERROR(__xludf.DUMMYFUNCTION("""COMPUTED_VALUE"""),31.11)</f>
        <v>31.11</v>
      </c>
      <c r="F1591" s="1">
        <f>IFERROR(__xludf.DUMMYFUNCTION("""COMPUTED_VALUE"""),328099.0)</f>
        <v>328099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IFERROR(__xludf.DUMMYFUNCTION("""COMPUTED_VALUE"""),30.91)</f>
        <v>30.91</v>
      </c>
      <c r="C1592" s="1">
        <f>IFERROR(__xludf.DUMMYFUNCTION("""COMPUTED_VALUE"""),31.19)</f>
        <v>31.19</v>
      </c>
      <c r="D1592" s="1">
        <f>IFERROR(__xludf.DUMMYFUNCTION("""COMPUTED_VALUE"""),30.53)</f>
        <v>30.53</v>
      </c>
      <c r="E1592" s="1">
        <f>IFERROR(__xludf.DUMMYFUNCTION("""COMPUTED_VALUE"""),30.64)</f>
        <v>30.64</v>
      </c>
      <c r="F1592" s="1">
        <f>IFERROR(__xludf.DUMMYFUNCTION("""COMPUTED_VALUE"""),424882.0)</f>
        <v>424882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IFERROR(__xludf.DUMMYFUNCTION("""COMPUTED_VALUE"""),30.64)</f>
        <v>30.64</v>
      </c>
      <c r="C1593" s="1">
        <f>IFERROR(__xludf.DUMMYFUNCTION("""COMPUTED_VALUE"""),30.73)</f>
        <v>30.73</v>
      </c>
      <c r="D1593" s="1">
        <f>IFERROR(__xludf.DUMMYFUNCTION("""COMPUTED_VALUE"""),30.13)</f>
        <v>30.13</v>
      </c>
      <c r="E1593" s="1">
        <f>IFERROR(__xludf.DUMMYFUNCTION("""COMPUTED_VALUE"""),30.52)</f>
        <v>30.52</v>
      </c>
      <c r="F1593" s="1">
        <f>IFERROR(__xludf.DUMMYFUNCTION("""COMPUTED_VALUE"""),489557.0)</f>
        <v>489557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IFERROR(__xludf.DUMMYFUNCTION("""COMPUTED_VALUE"""),30.56)</f>
        <v>30.56</v>
      </c>
      <c r="C1594" s="1">
        <f>IFERROR(__xludf.DUMMYFUNCTION("""COMPUTED_VALUE"""),30.93)</f>
        <v>30.93</v>
      </c>
      <c r="D1594" s="1">
        <f>IFERROR(__xludf.DUMMYFUNCTION("""COMPUTED_VALUE"""),30.44)</f>
        <v>30.44</v>
      </c>
      <c r="E1594" s="1">
        <f>IFERROR(__xludf.DUMMYFUNCTION("""COMPUTED_VALUE"""),30.81)</f>
        <v>30.81</v>
      </c>
      <c r="F1594" s="1">
        <f>IFERROR(__xludf.DUMMYFUNCTION("""COMPUTED_VALUE"""),372152.0)</f>
        <v>372152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IFERROR(__xludf.DUMMYFUNCTION("""COMPUTED_VALUE"""),30.38)</f>
        <v>30.38</v>
      </c>
      <c r="C1595" s="1">
        <f>IFERROR(__xludf.DUMMYFUNCTION("""COMPUTED_VALUE"""),30.38)</f>
        <v>30.38</v>
      </c>
      <c r="D1595" s="1">
        <f>IFERROR(__xludf.DUMMYFUNCTION("""COMPUTED_VALUE"""),29.68)</f>
        <v>29.68</v>
      </c>
      <c r="E1595" s="1">
        <f>IFERROR(__xludf.DUMMYFUNCTION("""COMPUTED_VALUE"""),29.95)</f>
        <v>29.95</v>
      </c>
      <c r="F1595" s="1">
        <f>IFERROR(__xludf.DUMMYFUNCTION("""COMPUTED_VALUE"""),331189.0)</f>
        <v>331189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IFERROR(__xludf.DUMMYFUNCTION("""COMPUTED_VALUE"""),29.77)</f>
        <v>29.77</v>
      </c>
      <c r="C1596" s="1">
        <f>IFERROR(__xludf.DUMMYFUNCTION("""COMPUTED_VALUE"""),30.03)</f>
        <v>30.03</v>
      </c>
      <c r="D1596" s="1">
        <f>IFERROR(__xludf.DUMMYFUNCTION("""COMPUTED_VALUE"""),29.16)</f>
        <v>29.16</v>
      </c>
      <c r="E1596" s="1">
        <f>IFERROR(__xludf.DUMMYFUNCTION("""COMPUTED_VALUE"""),29.37)</f>
        <v>29.37</v>
      </c>
      <c r="F1596" s="1">
        <f>IFERROR(__xludf.DUMMYFUNCTION("""COMPUTED_VALUE"""),540082.0)</f>
        <v>540082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IFERROR(__xludf.DUMMYFUNCTION("""COMPUTED_VALUE"""),29.58)</f>
        <v>29.58</v>
      </c>
      <c r="C1597" s="1">
        <f>IFERROR(__xludf.DUMMYFUNCTION("""COMPUTED_VALUE"""),29.63)</f>
        <v>29.63</v>
      </c>
      <c r="D1597" s="1">
        <f>IFERROR(__xludf.DUMMYFUNCTION("""COMPUTED_VALUE"""),29.15)</f>
        <v>29.15</v>
      </c>
      <c r="E1597" s="1">
        <f>IFERROR(__xludf.DUMMYFUNCTION("""COMPUTED_VALUE"""),29.19)</f>
        <v>29.19</v>
      </c>
      <c r="F1597" s="1">
        <f>IFERROR(__xludf.DUMMYFUNCTION("""COMPUTED_VALUE"""),435751.0)</f>
        <v>435751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IFERROR(__xludf.DUMMYFUNCTION("""COMPUTED_VALUE"""),29.03)</f>
        <v>29.03</v>
      </c>
      <c r="C1598" s="1">
        <f>IFERROR(__xludf.DUMMYFUNCTION("""COMPUTED_VALUE"""),29.3)</f>
        <v>29.3</v>
      </c>
      <c r="D1598" s="1">
        <f>IFERROR(__xludf.DUMMYFUNCTION("""COMPUTED_VALUE"""),28.84)</f>
        <v>28.84</v>
      </c>
      <c r="E1598" s="1">
        <f>IFERROR(__xludf.DUMMYFUNCTION("""COMPUTED_VALUE"""),29.3)</f>
        <v>29.3</v>
      </c>
      <c r="F1598" s="1">
        <f>IFERROR(__xludf.DUMMYFUNCTION("""COMPUTED_VALUE"""),617445.0)</f>
        <v>617445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IFERROR(__xludf.DUMMYFUNCTION("""COMPUTED_VALUE"""),29.22)</f>
        <v>29.22</v>
      </c>
      <c r="C1599" s="1">
        <f>IFERROR(__xludf.DUMMYFUNCTION("""COMPUTED_VALUE"""),29.39)</f>
        <v>29.39</v>
      </c>
      <c r="D1599" s="1">
        <f>IFERROR(__xludf.DUMMYFUNCTION("""COMPUTED_VALUE"""),28.99)</f>
        <v>28.99</v>
      </c>
      <c r="E1599" s="1">
        <f>IFERROR(__xludf.DUMMYFUNCTION("""COMPUTED_VALUE"""),29.08)</f>
        <v>29.08</v>
      </c>
      <c r="F1599" s="1">
        <f>IFERROR(__xludf.DUMMYFUNCTION("""COMPUTED_VALUE"""),420095.0)</f>
        <v>420095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IFERROR(__xludf.DUMMYFUNCTION("""COMPUTED_VALUE"""),29.38)</f>
        <v>29.38</v>
      </c>
      <c r="C1600" s="1">
        <f>IFERROR(__xludf.DUMMYFUNCTION("""COMPUTED_VALUE"""),29.61)</f>
        <v>29.61</v>
      </c>
      <c r="D1600" s="1">
        <f>IFERROR(__xludf.DUMMYFUNCTION("""COMPUTED_VALUE"""),29.18)</f>
        <v>29.18</v>
      </c>
      <c r="E1600" s="1">
        <f>IFERROR(__xludf.DUMMYFUNCTION("""COMPUTED_VALUE"""),29.58)</f>
        <v>29.58</v>
      </c>
      <c r="F1600" s="1">
        <f>IFERROR(__xludf.DUMMYFUNCTION("""COMPUTED_VALUE"""),582777.0)</f>
        <v>582777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IFERROR(__xludf.DUMMYFUNCTION("""COMPUTED_VALUE"""),29.47)</f>
        <v>29.47</v>
      </c>
      <c r="C1601" s="1">
        <f>IFERROR(__xludf.DUMMYFUNCTION("""COMPUTED_VALUE"""),29.65)</f>
        <v>29.65</v>
      </c>
      <c r="D1601" s="1">
        <f>IFERROR(__xludf.DUMMYFUNCTION("""COMPUTED_VALUE"""),29.23)</f>
        <v>29.23</v>
      </c>
      <c r="E1601" s="1">
        <f>IFERROR(__xludf.DUMMYFUNCTION("""COMPUTED_VALUE"""),29.24)</f>
        <v>29.24</v>
      </c>
      <c r="F1601" s="1">
        <f>IFERROR(__xludf.DUMMYFUNCTION("""COMPUTED_VALUE"""),463975.0)</f>
        <v>463975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IFERROR(__xludf.DUMMYFUNCTION("""COMPUTED_VALUE"""),29.44)</f>
        <v>29.44</v>
      </c>
      <c r="C1602" s="1">
        <f>IFERROR(__xludf.DUMMYFUNCTION("""COMPUTED_VALUE"""),29.68)</f>
        <v>29.68</v>
      </c>
      <c r="D1602" s="1">
        <f>IFERROR(__xludf.DUMMYFUNCTION("""COMPUTED_VALUE"""),28.92)</f>
        <v>28.92</v>
      </c>
      <c r="E1602" s="1">
        <f>IFERROR(__xludf.DUMMYFUNCTION("""COMPUTED_VALUE"""),29.22)</f>
        <v>29.22</v>
      </c>
      <c r="F1602" s="1">
        <f>IFERROR(__xludf.DUMMYFUNCTION("""COMPUTED_VALUE"""),403203.0)</f>
        <v>403203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IFERROR(__xludf.DUMMYFUNCTION("""COMPUTED_VALUE"""),29.12)</f>
        <v>29.12</v>
      </c>
      <c r="C1603" s="1">
        <f>IFERROR(__xludf.DUMMYFUNCTION("""COMPUTED_VALUE"""),29.66)</f>
        <v>29.66</v>
      </c>
      <c r="D1603" s="1">
        <f>IFERROR(__xludf.DUMMYFUNCTION("""COMPUTED_VALUE"""),28.53)</f>
        <v>28.53</v>
      </c>
      <c r="E1603" s="1">
        <f>IFERROR(__xludf.DUMMYFUNCTION("""COMPUTED_VALUE"""),28.68)</f>
        <v>28.68</v>
      </c>
      <c r="F1603" s="1">
        <f>IFERROR(__xludf.DUMMYFUNCTION("""COMPUTED_VALUE"""),491405.0)</f>
        <v>491405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IFERROR(__xludf.DUMMYFUNCTION("""COMPUTED_VALUE"""),28.78)</f>
        <v>28.78</v>
      </c>
      <c r="C1604" s="1">
        <f>IFERROR(__xludf.DUMMYFUNCTION("""COMPUTED_VALUE"""),29.34)</f>
        <v>29.34</v>
      </c>
      <c r="D1604" s="1">
        <f>IFERROR(__xludf.DUMMYFUNCTION("""COMPUTED_VALUE"""),28.69)</f>
        <v>28.69</v>
      </c>
      <c r="E1604" s="1">
        <f>IFERROR(__xludf.DUMMYFUNCTION("""COMPUTED_VALUE"""),29.12)</f>
        <v>29.12</v>
      </c>
      <c r="F1604" s="1">
        <f>IFERROR(__xludf.DUMMYFUNCTION("""COMPUTED_VALUE"""),317240.0)</f>
        <v>317240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IFERROR(__xludf.DUMMYFUNCTION("""COMPUTED_VALUE"""),29.12)</f>
        <v>29.12</v>
      </c>
      <c r="C1605" s="1">
        <f>IFERROR(__xludf.DUMMYFUNCTION("""COMPUTED_VALUE"""),29.27)</f>
        <v>29.27</v>
      </c>
      <c r="D1605" s="1">
        <f>IFERROR(__xludf.DUMMYFUNCTION("""COMPUTED_VALUE"""),28.44)</f>
        <v>28.44</v>
      </c>
      <c r="E1605" s="1">
        <f>IFERROR(__xludf.DUMMYFUNCTION("""COMPUTED_VALUE"""),28.64)</f>
        <v>28.64</v>
      </c>
      <c r="F1605" s="1">
        <f>IFERROR(__xludf.DUMMYFUNCTION("""COMPUTED_VALUE"""),578488.0)</f>
        <v>578488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IFERROR(__xludf.DUMMYFUNCTION("""COMPUTED_VALUE"""),28.68)</f>
        <v>28.68</v>
      </c>
      <c r="C1606" s="1">
        <f>IFERROR(__xludf.DUMMYFUNCTION("""COMPUTED_VALUE"""),29.94)</f>
        <v>29.94</v>
      </c>
      <c r="D1606" s="1">
        <f>IFERROR(__xludf.DUMMYFUNCTION("""COMPUTED_VALUE"""),28.68)</f>
        <v>28.68</v>
      </c>
      <c r="E1606" s="1">
        <f>IFERROR(__xludf.DUMMYFUNCTION("""COMPUTED_VALUE"""),29.87)</f>
        <v>29.87</v>
      </c>
      <c r="F1606" s="1">
        <f>IFERROR(__xludf.DUMMYFUNCTION("""COMPUTED_VALUE"""),468114.0)</f>
        <v>468114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IFERROR(__xludf.DUMMYFUNCTION("""COMPUTED_VALUE"""),29.81)</f>
        <v>29.81</v>
      </c>
      <c r="C1607" s="1">
        <f>IFERROR(__xludf.DUMMYFUNCTION("""COMPUTED_VALUE"""),30.09)</f>
        <v>30.09</v>
      </c>
      <c r="D1607" s="1">
        <f>IFERROR(__xludf.DUMMYFUNCTION("""COMPUTED_VALUE"""),29.26)</f>
        <v>29.26</v>
      </c>
      <c r="E1607" s="1">
        <f>IFERROR(__xludf.DUMMYFUNCTION("""COMPUTED_VALUE"""),29.62)</f>
        <v>29.62</v>
      </c>
      <c r="F1607" s="1">
        <f>IFERROR(__xludf.DUMMYFUNCTION("""COMPUTED_VALUE"""),628735.0)</f>
        <v>628735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IFERROR(__xludf.DUMMYFUNCTION("""COMPUTED_VALUE"""),29.8)</f>
        <v>29.8</v>
      </c>
      <c r="C1608" s="1">
        <f>IFERROR(__xludf.DUMMYFUNCTION("""COMPUTED_VALUE"""),30.21)</f>
        <v>30.21</v>
      </c>
      <c r="D1608" s="1">
        <f>IFERROR(__xludf.DUMMYFUNCTION("""COMPUTED_VALUE"""),29.73)</f>
        <v>29.73</v>
      </c>
      <c r="E1608" s="1">
        <f>IFERROR(__xludf.DUMMYFUNCTION("""COMPUTED_VALUE"""),30.11)</f>
        <v>30.11</v>
      </c>
      <c r="F1608" s="1">
        <f>IFERROR(__xludf.DUMMYFUNCTION("""COMPUTED_VALUE"""),748042.0)</f>
        <v>748042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IFERROR(__xludf.DUMMYFUNCTION("""COMPUTED_VALUE"""),30.05)</f>
        <v>30.05</v>
      </c>
      <c r="C1609" s="1">
        <f>IFERROR(__xludf.DUMMYFUNCTION("""COMPUTED_VALUE"""),30.2)</f>
        <v>30.2</v>
      </c>
      <c r="D1609" s="1">
        <f>IFERROR(__xludf.DUMMYFUNCTION("""COMPUTED_VALUE"""),29.64)</f>
        <v>29.64</v>
      </c>
      <c r="E1609" s="1">
        <f>IFERROR(__xludf.DUMMYFUNCTION("""COMPUTED_VALUE"""),29.65)</f>
        <v>29.65</v>
      </c>
      <c r="F1609" s="1">
        <f>IFERROR(__xludf.DUMMYFUNCTION("""COMPUTED_VALUE"""),372997.0)</f>
        <v>372997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IFERROR(__xludf.DUMMYFUNCTION("""COMPUTED_VALUE"""),29.95)</f>
        <v>29.95</v>
      </c>
      <c r="C1610" s="1">
        <f>IFERROR(__xludf.DUMMYFUNCTION("""COMPUTED_VALUE"""),30.47)</f>
        <v>30.47</v>
      </c>
      <c r="D1610" s="1">
        <f>IFERROR(__xludf.DUMMYFUNCTION("""COMPUTED_VALUE"""),29.86)</f>
        <v>29.86</v>
      </c>
      <c r="E1610" s="1">
        <f>IFERROR(__xludf.DUMMYFUNCTION("""COMPUTED_VALUE"""),30.42)</f>
        <v>30.42</v>
      </c>
      <c r="F1610" s="1">
        <f>IFERROR(__xludf.DUMMYFUNCTION("""COMPUTED_VALUE"""),446882.0)</f>
        <v>446882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IFERROR(__xludf.DUMMYFUNCTION("""COMPUTED_VALUE"""),30.64)</f>
        <v>30.64</v>
      </c>
      <c r="C1611" s="1">
        <f>IFERROR(__xludf.DUMMYFUNCTION("""COMPUTED_VALUE"""),31.08)</f>
        <v>31.08</v>
      </c>
      <c r="D1611" s="1">
        <f>IFERROR(__xludf.DUMMYFUNCTION("""COMPUTED_VALUE"""),30.53)</f>
        <v>30.53</v>
      </c>
      <c r="E1611" s="1">
        <f>IFERROR(__xludf.DUMMYFUNCTION("""COMPUTED_VALUE"""),30.81)</f>
        <v>30.81</v>
      </c>
      <c r="F1611" s="1">
        <f>IFERROR(__xludf.DUMMYFUNCTION("""COMPUTED_VALUE"""),430534.0)</f>
        <v>430534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IFERROR(__xludf.DUMMYFUNCTION("""COMPUTED_VALUE"""),30.81)</f>
        <v>30.81</v>
      </c>
      <c r="C1612" s="1">
        <f>IFERROR(__xludf.DUMMYFUNCTION("""COMPUTED_VALUE"""),30.82)</f>
        <v>30.82</v>
      </c>
      <c r="D1612" s="1">
        <f>IFERROR(__xludf.DUMMYFUNCTION("""COMPUTED_VALUE"""),30.39)</f>
        <v>30.39</v>
      </c>
      <c r="E1612" s="1">
        <f>IFERROR(__xludf.DUMMYFUNCTION("""COMPUTED_VALUE"""),30.48)</f>
        <v>30.48</v>
      </c>
      <c r="F1612" s="1">
        <f>IFERROR(__xludf.DUMMYFUNCTION("""COMPUTED_VALUE"""),249956.0)</f>
        <v>249956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IFERROR(__xludf.DUMMYFUNCTION("""COMPUTED_VALUE"""),30.44)</f>
        <v>30.44</v>
      </c>
      <c r="C1613" s="1">
        <f>IFERROR(__xludf.DUMMYFUNCTION("""COMPUTED_VALUE"""),30.71)</f>
        <v>30.71</v>
      </c>
      <c r="D1613" s="1">
        <f>IFERROR(__xludf.DUMMYFUNCTION("""COMPUTED_VALUE"""),30.27)</f>
        <v>30.27</v>
      </c>
      <c r="E1613" s="1">
        <f>IFERROR(__xludf.DUMMYFUNCTION("""COMPUTED_VALUE"""),30.71)</f>
        <v>30.71</v>
      </c>
      <c r="F1613" s="1">
        <f>IFERROR(__xludf.DUMMYFUNCTION("""COMPUTED_VALUE"""),421756.0)</f>
        <v>421756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IFERROR(__xludf.DUMMYFUNCTION("""COMPUTED_VALUE"""),30.93)</f>
        <v>30.93</v>
      </c>
      <c r="C1614" s="1">
        <f>IFERROR(__xludf.DUMMYFUNCTION("""COMPUTED_VALUE"""),30.97)</f>
        <v>30.97</v>
      </c>
      <c r="D1614" s="1">
        <f>IFERROR(__xludf.DUMMYFUNCTION("""COMPUTED_VALUE"""),30.65)</f>
        <v>30.65</v>
      </c>
      <c r="E1614" s="1">
        <f>IFERROR(__xludf.DUMMYFUNCTION("""COMPUTED_VALUE"""),30.82)</f>
        <v>30.82</v>
      </c>
      <c r="F1614" s="1">
        <f>IFERROR(__xludf.DUMMYFUNCTION("""COMPUTED_VALUE"""),458714.0)</f>
        <v>458714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IFERROR(__xludf.DUMMYFUNCTION("""COMPUTED_VALUE"""),30.53)</f>
        <v>30.53</v>
      </c>
      <c r="C1615" s="1">
        <f>IFERROR(__xludf.DUMMYFUNCTION("""COMPUTED_VALUE"""),31.04)</f>
        <v>31.04</v>
      </c>
      <c r="D1615" s="1">
        <f>IFERROR(__xludf.DUMMYFUNCTION("""COMPUTED_VALUE"""),30.39)</f>
        <v>30.39</v>
      </c>
      <c r="E1615" s="1">
        <f>IFERROR(__xludf.DUMMYFUNCTION("""COMPUTED_VALUE"""),30.99)</f>
        <v>30.99</v>
      </c>
      <c r="F1615" s="1">
        <f>IFERROR(__xludf.DUMMYFUNCTION("""COMPUTED_VALUE"""),389735.0)</f>
        <v>389735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IFERROR(__xludf.DUMMYFUNCTION("""COMPUTED_VALUE"""),30.94)</f>
        <v>30.94</v>
      </c>
      <c r="C1616" s="1">
        <f>IFERROR(__xludf.DUMMYFUNCTION("""COMPUTED_VALUE"""),31.13)</f>
        <v>31.13</v>
      </c>
      <c r="D1616" s="1">
        <f>IFERROR(__xludf.DUMMYFUNCTION("""COMPUTED_VALUE"""),30.73)</f>
        <v>30.73</v>
      </c>
      <c r="E1616" s="1">
        <f>IFERROR(__xludf.DUMMYFUNCTION("""COMPUTED_VALUE"""),31.12)</f>
        <v>31.12</v>
      </c>
      <c r="F1616" s="1">
        <f>IFERROR(__xludf.DUMMYFUNCTION("""COMPUTED_VALUE"""),326521.0)</f>
        <v>326521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IFERROR(__xludf.DUMMYFUNCTION("""COMPUTED_VALUE"""),30.73)</f>
        <v>30.73</v>
      </c>
      <c r="C1617" s="1">
        <f>IFERROR(__xludf.DUMMYFUNCTION("""COMPUTED_VALUE"""),31.01)</f>
        <v>31.01</v>
      </c>
      <c r="D1617" s="1">
        <f>IFERROR(__xludf.DUMMYFUNCTION("""COMPUTED_VALUE"""),29.79)</f>
        <v>29.79</v>
      </c>
      <c r="E1617" s="1">
        <f>IFERROR(__xludf.DUMMYFUNCTION("""COMPUTED_VALUE"""),30.66)</f>
        <v>30.66</v>
      </c>
      <c r="F1617" s="1">
        <f>IFERROR(__xludf.DUMMYFUNCTION("""COMPUTED_VALUE"""),566828.0)</f>
        <v>566828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IFERROR(__xludf.DUMMYFUNCTION("""COMPUTED_VALUE"""),30.79)</f>
        <v>30.79</v>
      </c>
      <c r="C1618" s="1">
        <f>IFERROR(__xludf.DUMMYFUNCTION("""COMPUTED_VALUE"""),31.24)</f>
        <v>31.24</v>
      </c>
      <c r="D1618" s="1">
        <f>IFERROR(__xludf.DUMMYFUNCTION("""COMPUTED_VALUE"""),30.7)</f>
        <v>30.7</v>
      </c>
      <c r="E1618" s="1">
        <f>IFERROR(__xludf.DUMMYFUNCTION("""COMPUTED_VALUE"""),31.04)</f>
        <v>31.04</v>
      </c>
      <c r="F1618" s="1">
        <f>IFERROR(__xludf.DUMMYFUNCTION("""COMPUTED_VALUE"""),769240.0)</f>
        <v>769240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IFERROR(__xludf.DUMMYFUNCTION("""COMPUTED_VALUE"""),31.06)</f>
        <v>31.06</v>
      </c>
      <c r="C1619" s="1">
        <f>IFERROR(__xludf.DUMMYFUNCTION("""COMPUTED_VALUE"""),31.14)</f>
        <v>31.14</v>
      </c>
      <c r="D1619" s="1">
        <f>IFERROR(__xludf.DUMMYFUNCTION("""COMPUTED_VALUE"""),30.73)</f>
        <v>30.73</v>
      </c>
      <c r="E1619" s="1">
        <f>IFERROR(__xludf.DUMMYFUNCTION("""COMPUTED_VALUE"""),30.77)</f>
        <v>30.77</v>
      </c>
      <c r="F1619" s="1">
        <f>IFERROR(__xludf.DUMMYFUNCTION("""COMPUTED_VALUE"""),631859.0)</f>
        <v>631859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IFERROR(__xludf.DUMMYFUNCTION("""COMPUTED_VALUE"""),30.77)</f>
        <v>30.77</v>
      </c>
      <c r="C1620" s="1">
        <f>IFERROR(__xludf.DUMMYFUNCTION("""COMPUTED_VALUE"""),30.94)</f>
        <v>30.94</v>
      </c>
      <c r="D1620" s="1">
        <f>IFERROR(__xludf.DUMMYFUNCTION("""COMPUTED_VALUE"""),30.72)</f>
        <v>30.72</v>
      </c>
      <c r="E1620" s="1">
        <f>IFERROR(__xludf.DUMMYFUNCTION("""COMPUTED_VALUE"""),30.8)</f>
        <v>30.8</v>
      </c>
      <c r="F1620" s="1">
        <f>IFERROR(__xludf.DUMMYFUNCTION("""COMPUTED_VALUE"""),393690.0)</f>
        <v>393690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IFERROR(__xludf.DUMMYFUNCTION("""COMPUTED_VALUE"""),30.7)</f>
        <v>30.7</v>
      </c>
      <c r="C1621" s="1">
        <f>IFERROR(__xludf.DUMMYFUNCTION("""COMPUTED_VALUE"""),30.71)</f>
        <v>30.71</v>
      </c>
      <c r="D1621" s="1">
        <f>IFERROR(__xludf.DUMMYFUNCTION("""COMPUTED_VALUE"""),30.1)</f>
        <v>30.1</v>
      </c>
      <c r="E1621" s="1">
        <f>IFERROR(__xludf.DUMMYFUNCTION("""COMPUTED_VALUE"""),30.36)</f>
        <v>30.36</v>
      </c>
      <c r="F1621" s="1">
        <f>IFERROR(__xludf.DUMMYFUNCTION("""COMPUTED_VALUE"""),429768.0)</f>
        <v>429768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IFERROR(__xludf.DUMMYFUNCTION("""COMPUTED_VALUE"""),30.0)</f>
        <v>30</v>
      </c>
      <c r="C1622" s="1">
        <f>IFERROR(__xludf.DUMMYFUNCTION("""COMPUTED_VALUE"""),30.1)</f>
        <v>30.1</v>
      </c>
      <c r="D1622" s="1">
        <f>IFERROR(__xludf.DUMMYFUNCTION("""COMPUTED_VALUE"""),29.73)</f>
        <v>29.73</v>
      </c>
      <c r="E1622" s="1">
        <f>IFERROR(__xludf.DUMMYFUNCTION("""COMPUTED_VALUE"""),29.87)</f>
        <v>29.87</v>
      </c>
      <c r="F1622" s="1">
        <f>IFERROR(__xludf.DUMMYFUNCTION("""COMPUTED_VALUE"""),320058.0)</f>
        <v>320058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IFERROR(__xludf.DUMMYFUNCTION("""COMPUTED_VALUE"""),29.78)</f>
        <v>29.78</v>
      </c>
      <c r="C1623" s="1">
        <f>IFERROR(__xludf.DUMMYFUNCTION("""COMPUTED_VALUE"""),29.81)</f>
        <v>29.81</v>
      </c>
      <c r="D1623" s="1">
        <f>IFERROR(__xludf.DUMMYFUNCTION("""COMPUTED_VALUE"""),29.11)</f>
        <v>29.11</v>
      </c>
      <c r="E1623" s="1">
        <f>IFERROR(__xludf.DUMMYFUNCTION("""COMPUTED_VALUE"""),29.22)</f>
        <v>29.22</v>
      </c>
      <c r="F1623" s="1">
        <f>IFERROR(__xludf.DUMMYFUNCTION("""COMPUTED_VALUE"""),540497.0)</f>
        <v>540497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IFERROR(__xludf.DUMMYFUNCTION("""COMPUTED_VALUE"""),29.05)</f>
        <v>29.05</v>
      </c>
      <c r="C1624" s="1">
        <f>IFERROR(__xludf.DUMMYFUNCTION("""COMPUTED_VALUE"""),29.3)</f>
        <v>29.3</v>
      </c>
      <c r="D1624" s="1">
        <f>IFERROR(__xludf.DUMMYFUNCTION("""COMPUTED_VALUE"""),28.46)</f>
        <v>28.46</v>
      </c>
      <c r="E1624" s="1">
        <f>IFERROR(__xludf.DUMMYFUNCTION("""COMPUTED_VALUE"""),28.57)</f>
        <v>28.57</v>
      </c>
      <c r="F1624" s="1">
        <f>IFERROR(__xludf.DUMMYFUNCTION("""COMPUTED_VALUE"""),558545.0)</f>
        <v>558545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IFERROR(__xludf.DUMMYFUNCTION("""COMPUTED_VALUE"""),28.6)</f>
        <v>28.6</v>
      </c>
      <c r="C1625" s="1">
        <f>IFERROR(__xludf.DUMMYFUNCTION("""COMPUTED_VALUE"""),28.87)</f>
        <v>28.87</v>
      </c>
      <c r="D1625" s="1">
        <f>IFERROR(__xludf.DUMMYFUNCTION("""COMPUTED_VALUE"""),28.3)</f>
        <v>28.3</v>
      </c>
      <c r="E1625" s="1">
        <f>IFERROR(__xludf.DUMMYFUNCTION("""COMPUTED_VALUE"""),28.37)</f>
        <v>28.37</v>
      </c>
      <c r="F1625" s="1">
        <f>IFERROR(__xludf.DUMMYFUNCTION("""COMPUTED_VALUE"""),883215.0)</f>
        <v>883215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IFERROR(__xludf.DUMMYFUNCTION("""COMPUTED_VALUE"""),28.08)</f>
        <v>28.08</v>
      </c>
      <c r="C1626" s="1">
        <f>IFERROR(__xludf.DUMMYFUNCTION("""COMPUTED_VALUE"""),28.28)</f>
        <v>28.28</v>
      </c>
      <c r="D1626" s="1">
        <f>IFERROR(__xludf.DUMMYFUNCTION("""COMPUTED_VALUE"""),27.71)</f>
        <v>27.71</v>
      </c>
      <c r="E1626" s="1">
        <f>IFERROR(__xludf.DUMMYFUNCTION("""COMPUTED_VALUE"""),28.2)</f>
        <v>28.2</v>
      </c>
      <c r="F1626" s="1">
        <f>IFERROR(__xludf.DUMMYFUNCTION("""COMPUTED_VALUE"""),543483.0)</f>
        <v>543483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IFERROR(__xludf.DUMMYFUNCTION("""COMPUTED_VALUE"""),28.2)</f>
        <v>28.2</v>
      </c>
      <c r="C1627" s="1">
        <f>IFERROR(__xludf.DUMMYFUNCTION("""COMPUTED_VALUE"""),28.56)</f>
        <v>28.56</v>
      </c>
      <c r="D1627" s="1">
        <f>IFERROR(__xludf.DUMMYFUNCTION("""COMPUTED_VALUE"""),28.03)</f>
        <v>28.03</v>
      </c>
      <c r="E1627" s="1">
        <f>IFERROR(__xludf.DUMMYFUNCTION("""COMPUTED_VALUE"""),28.4)</f>
        <v>28.4</v>
      </c>
      <c r="F1627" s="1">
        <f>IFERROR(__xludf.DUMMYFUNCTION("""COMPUTED_VALUE"""),1706946.0)</f>
        <v>1706946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IFERROR(__xludf.DUMMYFUNCTION("""COMPUTED_VALUE"""),28.9)</f>
        <v>28.9</v>
      </c>
      <c r="C1628" s="1">
        <f>IFERROR(__xludf.DUMMYFUNCTION("""COMPUTED_VALUE"""),29.3)</f>
        <v>29.3</v>
      </c>
      <c r="D1628" s="1">
        <f>IFERROR(__xludf.DUMMYFUNCTION("""COMPUTED_VALUE"""),28.67)</f>
        <v>28.67</v>
      </c>
      <c r="E1628" s="1">
        <f>IFERROR(__xludf.DUMMYFUNCTION("""COMPUTED_VALUE"""),28.69)</f>
        <v>28.69</v>
      </c>
      <c r="F1628" s="1">
        <f>IFERROR(__xludf.DUMMYFUNCTION("""COMPUTED_VALUE"""),346690.0)</f>
        <v>346690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IFERROR(__xludf.DUMMYFUNCTION("""COMPUTED_VALUE"""),28.73)</f>
        <v>28.73</v>
      </c>
      <c r="C1629" s="1">
        <f>IFERROR(__xludf.DUMMYFUNCTION("""COMPUTED_VALUE"""),28.84)</f>
        <v>28.84</v>
      </c>
      <c r="D1629" s="1">
        <f>IFERROR(__xludf.DUMMYFUNCTION("""COMPUTED_VALUE"""),28.42)</f>
        <v>28.42</v>
      </c>
      <c r="E1629" s="1">
        <f>IFERROR(__xludf.DUMMYFUNCTION("""COMPUTED_VALUE"""),28.59)</f>
        <v>28.59</v>
      </c>
      <c r="F1629" s="1">
        <f>IFERROR(__xludf.DUMMYFUNCTION("""COMPUTED_VALUE"""),205282.0)</f>
        <v>205282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IFERROR(__xludf.DUMMYFUNCTION("""COMPUTED_VALUE"""),28.68)</f>
        <v>28.68</v>
      </c>
      <c r="C1630" s="1">
        <f>IFERROR(__xludf.DUMMYFUNCTION("""COMPUTED_VALUE"""),29.03)</f>
        <v>29.03</v>
      </c>
      <c r="D1630" s="1">
        <f>IFERROR(__xludf.DUMMYFUNCTION("""COMPUTED_VALUE"""),28.54)</f>
        <v>28.54</v>
      </c>
      <c r="E1630" s="1">
        <f>IFERROR(__xludf.DUMMYFUNCTION("""COMPUTED_VALUE"""),28.55)</f>
        <v>28.55</v>
      </c>
      <c r="F1630" s="1">
        <f>IFERROR(__xludf.DUMMYFUNCTION("""COMPUTED_VALUE"""),231106.0)</f>
        <v>231106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IFERROR(__xludf.DUMMYFUNCTION("""COMPUTED_VALUE"""),29.0)</f>
        <v>29</v>
      </c>
      <c r="C1631" s="1">
        <f>IFERROR(__xludf.DUMMYFUNCTION("""COMPUTED_VALUE"""),29.65)</f>
        <v>29.65</v>
      </c>
      <c r="D1631" s="1">
        <f>IFERROR(__xludf.DUMMYFUNCTION("""COMPUTED_VALUE"""),28.62)</f>
        <v>28.62</v>
      </c>
      <c r="E1631" s="1">
        <f>IFERROR(__xludf.DUMMYFUNCTION("""COMPUTED_VALUE"""),29.64)</f>
        <v>29.64</v>
      </c>
      <c r="F1631" s="1">
        <f>IFERROR(__xludf.DUMMYFUNCTION("""COMPUTED_VALUE"""),387130.0)</f>
        <v>387130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IFERROR(__xludf.DUMMYFUNCTION("""COMPUTED_VALUE"""),27.75)</f>
        <v>27.75</v>
      </c>
      <c r="C1632" s="1">
        <f>IFERROR(__xludf.DUMMYFUNCTION("""COMPUTED_VALUE"""),28.25)</f>
        <v>28.25</v>
      </c>
      <c r="D1632" s="1">
        <f>IFERROR(__xludf.DUMMYFUNCTION("""COMPUTED_VALUE"""),27.57)</f>
        <v>27.57</v>
      </c>
      <c r="E1632" s="1">
        <f>IFERROR(__xludf.DUMMYFUNCTION("""COMPUTED_VALUE"""),27.83)</f>
        <v>27.83</v>
      </c>
      <c r="F1632" s="1">
        <f>IFERROR(__xludf.DUMMYFUNCTION("""COMPUTED_VALUE"""),1559106.0)</f>
        <v>1559106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IFERROR(__xludf.DUMMYFUNCTION("""COMPUTED_VALUE"""),27.41)</f>
        <v>27.41</v>
      </c>
      <c r="C1633" s="1">
        <f>IFERROR(__xludf.DUMMYFUNCTION("""COMPUTED_VALUE"""),27.45)</f>
        <v>27.45</v>
      </c>
      <c r="D1633" s="1">
        <f>IFERROR(__xludf.DUMMYFUNCTION("""COMPUTED_VALUE"""),26.27)</f>
        <v>26.27</v>
      </c>
      <c r="E1633" s="1">
        <f>IFERROR(__xludf.DUMMYFUNCTION("""COMPUTED_VALUE"""),26.27)</f>
        <v>26.27</v>
      </c>
      <c r="F1633" s="1">
        <f>IFERROR(__xludf.DUMMYFUNCTION("""COMPUTED_VALUE"""),1066732.0)</f>
        <v>1066732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IFERROR(__xludf.DUMMYFUNCTION("""COMPUTED_VALUE"""),26.67)</f>
        <v>26.67</v>
      </c>
      <c r="C1634" s="1">
        <f>IFERROR(__xludf.DUMMYFUNCTION("""COMPUTED_VALUE"""),27.13)</f>
        <v>27.13</v>
      </c>
      <c r="D1634" s="1">
        <f>IFERROR(__xludf.DUMMYFUNCTION("""COMPUTED_VALUE"""),26.4)</f>
        <v>26.4</v>
      </c>
      <c r="E1634" s="1">
        <f>IFERROR(__xludf.DUMMYFUNCTION("""COMPUTED_VALUE"""),27.01)</f>
        <v>27.01</v>
      </c>
      <c r="F1634" s="1">
        <f>IFERROR(__xludf.DUMMYFUNCTION("""COMPUTED_VALUE"""),529147.0)</f>
        <v>529147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IFERROR(__xludf.DUMMYFUNCTION("""COMPUTED_VALUE"""),27.46)</f>
        <v>27.46</v>
      </c>
      <c r="C1635" s="1">
        <f>IFERROR(__xludf.DUMMYFUNCTION("""COMPUTED_VALUE"""),27.62)</f>
        <v>27.62</v>
      </c>
      <c r="D1635" s="1">
        <f>IFERROR(__xludf.DUMMYFUNCTION("""COMPUTED_VALUE"""),27.16)</f>
        <v>27.16</v>
      </c>
      <c r="E1635" s="1">
        <f>IFERROR(__xludf.DUMMYFUNCTION("""COMPUTED_VALUE"""),27.57)</f>
        <v>27.57</v>
      </c>
      <c r="F1635" s="1">
        <f>IFERROR(__xludf.DUMMYFUNCTION("""COMPUTED_VALUE"""),456623.0)</f>
        <v>456623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IFERROR(__xludf.DUMMYFUNCTION("""COMPUTED_VALUE"""),27.74)</f>
        <v>27.74</v>
      </c>
      <c r="C1636" s="1">
        <f>IFERROR(__xludf.DUMMYFUNCTION("""COMPUTED_VALUE"""),28.21)</f>
        <v>28.21</v>
      </c>
      <c r="D1636" s="1">
        <f>IFERROR(__xludf.DUMMYFUNCTION("""COMPUTED_VALUE"""),27.34)</f>
        <v>27.34</v>
      </c>
      <c r="E1636" s="1">
        <f>IFERROR(__xludf.DUMMYFUNCTION("""COMPUTED_VALUE"""),28.2)</f>
        <v>28.2</v>
      </c>
      <c r="F1636" s="1">
        <f>IFERROR(__xludf.DUMMYFUNCTION("""COMPUTED_VALUE"""),514466.0)</f>
        <v>514466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IFERROR(__xludf.DUMMYFUNCTION("""COMPUTED_VALUE"""),27.98)</f>
        <v>27.98</v>
      </c>
      <c r="C1637" s="1">
        <f>IFERROR(__xludf.DUMMYFUNCTION("""COMPUTED_VALUE"""),28.13)</f>
        <v>28.13</v>
      </c>
      <c r="D1637" s="1">
        <f>IFERROR(__xludf.DUMMYFUNCTION("""COMPUTED_VALUE"""),27.45)</f>
        <v>27.45</v>
      </c>
      <c r="E1637" s="1">
        <f>IFERROR(__xludf.DUMMYFUNCTION("""COMPUTED_VALUE"""),27.49)</f>
        <v>27.49</v>
      </c>
      <c r="F1637" s="1">
        <f>IFERROR(__xludf.DUMMYFUNCTION("""COMPUTED_VALUE"""),651221.0)</f>
        <v>651221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IFERROR(__xludf.DUMMYFUNCTION("""COMPUTED_VALUE"""),27.05)</f>
        <v>27.05</v>
      </c>
      <c r="C1638" s="1">
        <f>IFERROR(__xludf.DUMMYFUNCTION("""COMPUTED_VALUE"""),27.05)</f>
        <v>27.05</v>
      </c>
      <c r="D1638" s="1">
        <f>IFERROR(__xludf.DUMMYFUNCTION("""COMPUTED_VALUE"""),26.66)</f>
        <v>26.66</v>
      </c>
      <c r="E1638" s="1">
        <f>IFERROR(__xludf.DUMMYFUNCTION("""COMPUTED_VALUE"""),26.79)</f>
        <v>26.79</v>
      </c>
      <c r="F1638" s="1">
        <f>IFERROR(__xludf.DUMMYFUNCTION("""COMPUTED_VALUE"""),620984.0)</f>
        <v>620984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IFERROR(__xludf.DUMMYFUNCTION("""COMPUTED_VALUE"""),26.54)</f>
        <v>26.54</v>
      </c>
      <c r="C1639" s="1">
        <f>IFERROR(__xludf.DUMMYFUNCTION("""COMPUTED_VALUE"""),27.02)</f>
        <v>27.02</v>
      </c>
      <c r="D1639" s="1">
        <f>IFERROR(__xludf.DUMMYFUNCTION("""COMPUTED_VALUE"""),26.4)</f>
        <v>26.4</v>
      </c>
      <c r="E1639" s="1">
        <f>IFERROR(__xludf.DUMMYFUNCTION("""COMPUTED_VALUE"""),26.93)</f>
        <v>26.93</v>
      </c>
      <c r="F1639" s="1">
        <f>IFERROR(__xludf.DUMMYFUNCTION("""COMPUTED_VALUE"""),454475.0)</f>
        <v>454475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IFERROR(__xludf.DUMMYFUNCTION("""COMPUTED_VALUE"""),26.93)</f>
        <v>26.93</v>
      </c>
      <c r="C1640" s="1">
        <f>IFERROR(__xludf.DUMMYFUNCTION("""COMPUTED_VALUE"""),27.52)</f>
        <v>27.52</v>
      </c>
      <c r="D1640" s="1">
        <f>IFERROR(__xludf.DUMMYFUNCTION("""COMPUTED_VALUE"""),26.93)</f>
        <v>26.93</v>
      </c>
      <c r="E1640" s="1">
        <f>IFERROR(__xludf.DUMMYFUNCTION("""COMPUTED_VALUE"""),27.35)</f>
        <v>27.35</v>
      </c>
      <c r="F1640" s="1">
        <f>IFERROR(__xludf.DUMMYFUNCTION("""COMPUTED_VALUE"""),492602.0)</f>
        <v>492602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IFERROR(__xludf.DUMMYFUNCTION("""COMPUTED_VALUE"""),27.83)</f>
        <v>27.83</v>
      </c>
      <c r="C1641" s="1">
        <f>IFERROR(__xludf.DUMMYFUNCTION("""COMPUTED_VALUE"""),29.02)</f>
        <v>29.02</v>
      </c>
      <c r="D1641" s="1">
        <f>IFERROR(__xludf.DUMMYFUNCTION("""COMPUTED_VALUE"""),27.69)</f>
        <v>27.69</v>
      </c>
      <c r="E1641" s="1">
        <f>IFERROR(__xludf.DUMMYFUNCTION("""COMPUTED_VALUE"""),28.7)</f>
        <v>28.7</v>
      </c>
      <c r="F1641" s="1">
        <f>IFERROR(__xludf.DUMMYFUNCTION("""COMPUTED_VALUE"""),1173980.0)</f>
        <v>1173980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IFERROR(__xludf.DUMMYFUNCTION("""COMPUTED_VALUE"""),28.97)</f>
        <v>28.97</v>
      </c>
      <c r="C1642" s="1">
        <f>IFERROR(__xludf.DUMMYFUNCTION("""COMPUTED_VALUE"""),29.28)</f>
        <v>29.28</v>
      </c>
      <c r="D1642" s="1">
        <f>IFERROR(__xludf.DUMMYFUNCTION("""COMPUTED_VALUE"""),28.85)</f>
        <v>28.85</v>
      </c>
      <c r="E1642" s="1">
        <f>IFERROR(__xludf.DUMMYFUNCTION("""COMPUTED_VALUE"""),29.12)</f>
        <v>29.12</v>
      </c>
      <c r="F1642" s="1">
        <f>IFERROR(__xludf.DUMMYFUNCTION("""COMPUTED_VALUE"""),794688.0)</f>
        <v>794688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IFERROR(__xludf.DUMMYFUNCTION("""COMPUTED_VALUE"""),29.56)</f>
        <v>29.56</v>
      </c>
      <c r="C1643" s="1">
        <f>IFERROR(__xludf.DUMMYFUNCTION("""COMPUTED_VALUE"""),29.88)</f>
        <v>29.88</v>
      </c>
      <c r="D1643" s="1">
        <f>IFERROR(__xludf.DUMMYFUNCTION("""COMPUTED_VALUE"""),29.1)</f>
        <v>29.1</v>
      </c>
      <c r="E1643" s="1">
        <f>IFERROR(__xludf.DUMMYFUNCTION("""COMPUTED_VALUE"""),29.74)</f>
        <v>29.74</v>
      </c>
      <c r="F1643" s="1">
        <f>IFERROR(__xludf.DUMMYFUNCTION("""COMPUTED_VALUE"""),616633.0)</f>
        <v>616633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IFERROR(__xludf.DUMMYFUNCTION("""COMPUTED_VALUE"""),29.71)</f>
        <v>29.71</v>
      </c>
      <c r="C1644" s="1">
        <f>IFERROR(__xludf.DUMMYFUNCTION("""COMPUTED_VALUE"""),29.87)</f>
        <v>29.87</v>
      </c>
      <c r="D1644" s="1">
        <f>IFERROR(__xludf.DUMMYFUNCTION("""COMPUTED_VALUE"""),29.52)</f>
        <v>29.52</v>
      </c>
      <c r="E1644" s="1">
        <f>IFERROR(__xludf.DUMMYFUNCTION("""COMPUTED_VALUE"""),29.68)</f>
        <v>29.68</v>
      </c>
      <c r="F1644" s="1">
        <f>IFERROR(__xludf.DUMMYFUNCTION("""COMPUTED_VALUE"""),384211.0)</f>
        <v>384211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IFERROR(__xludf.DUMMYFUNCTION("""COMPUTED_VALUE"""),30.1)</f>
        <v>30.1</v>
      </c>
      <c r="C1645" s="1">
        <f>IFERROR(__xludf.DUMMYFUNCTION("""COMPUTED_VALUE"""),30.27)</f>
        <v>30.27</v>
      </c>
      <c r="D1645" s="1">
        <f>IFERROR(__xludf.DUMMYFUNCTION("""COMPUTED_VALUE"""),29.98)</f>
        <v>29.98</v>
      </c>
      <c r="E1645" s="1">
        <f>IFERROR(__xludf.DUMMYFUNCTION("""COMPUTED_VALUE"""),30.04)</f>
        <v>30.04</v>
      </c>
      <c r="F1645" s="1">
        <f>IFERROR(__xludf.DUMMYFUNCTION("""COMPUTED_VALUE"""),370459.0)</f>
        <v>370459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IFERROR(__xludf.DUMMYFUNCTION("""COMPUTED_VALUE"""),30.25)</f>
        <v>30.25</v>
      </c>
      <c r="C1646" s="1">
        <f>IFERROR(__xludf.DUMMYFUNCTION("""COMPUTED_VALUE"""),30.39)</f>
        <v>30.39</v>
      </c>
      <c r="D1646" s="1">
        <f>IFERROR(__xludf.DUMMYFUNCTION("""COMPUTED_VALUE"""),29.92)</f>
        <v>29.92</v>
      </c>
      <c r="E1646" s="1">
        <f>IFERROR(__xludf.DUMMYFUNCTION("""COMPUTED_VALUE"""),30.07)</f>
        <v>30.07</v>
      </c>
      <c r="F1646" s="1">
        <f>IFERROR(__xludf.DUMMYFUNCTION("""COMPUTED_VALUE"""),430687.0)</f>
        <v>430687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IFERROR(__xludf.DUMMYFUNCTION("""COMPUTED_VALUE"""),30.15)</f>
        <v>30.15</v>
      </c>
      <c r="C1647" s="1">
        <f>IFERROR(__xludf.DUMMYFUNCTION("""COMPUTED_VALUE"""),30.42)</f>
        <v>30.42</v>
      </c>
      <c r="D1647" s="1">
        <f>IFERROR(__xludf.DUMMYFUNCTION("""COMPUTED_VALUE"""),29.77)</f>
        <v>29.77</v>
      </c>
      <c r="E1647" s="1">
        <f>IFERROR(__xludf.DUMMYFUNCTION("""COMPUTED_VALUE"""),29.77)</f>
        <v>29.77</v>
      </c>
      <c r="F1647" s="1">
        <f>IFERROR(__xludf.DUMMYFUNCTION("""COMPUTED_VALUE"""),277789.0)</f>
        <v>277789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IFERROR(__xludf.DUMMYFUNCTION("""COMPUTED_VALUE"""),29.72)</f>
        <v>29.72</v>
      </c>
      <c r="C1648" s="1">
        <f>IFERROR(__xludf.DUMMYFUNCTION("""COMPUTED_VALUE"""),30.13)</f>
        <v>30.13</v>
      </c>
      <c r="D1648" s="1">
        <f>IFERROR(__xludf.DUMMYFUNCTION("""COMPUTED_VALUE"""),29.64)</f>
        <v>29.64</v>
      </c>
      <c r="E1648" s="1">
        <f>IFERROR(__xludf.DUMMYFUNCTION("""COMPUTED_VALUE"""),29.93)</f>
        <v>29.93</v>
      </c>
      <c r="F1648" s="1">
        <f>IFERROR(__xludf.DUMMYFUNCTION("""COMPUTED_VALUE"""),369134.0)</f>
        <v>369134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IFERROR(__xludf.DUMMYFUNCTION("""COMPUTED_VALUE"""),30.1)</f>
        <v>30.1</v>
      </c>
      <c r="C1649" s="1">
        <f>IFERROR(__xludf.DUMMYFUNCTION("""COMPUTED_VALUE"""),30.27)</f>
        <v>30.27</v>
      </c>
      <c r="D1649" s="1">
        <f>IFERROR(__xludf.DUMMYFUNCTION("""COMPUTED_VALUE"""),29.64)</f>
        <v>29.64</v>
      </c>
      <c r="E1649" s="1">
        <f>IFERROR(__xludf.DUMMYFUNCTION("""COMPUTED_VALUE"""),30.12)</f>
        <v>30.12</v>
      </c>
      <c r="F1649" s="1">
        <f>IFERROR(__xludf.DUMMYFUNCTION("""COMPUTED_VALUE"""),658261.0)</f>
        <v>658261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IFERROR(__xludf.DUMMYFUNCTION("""COMPUTED_VALUE"""),30.43)</f>
        <v>30.43</v>
      </c>
      <c r="C1650" s="1">
        <f>IFERROR(__xludf.DUMMYFUNCTION("""COMPUTED_VALUE"""),30.49)</f>
        <v>30.49</v>
      </c>
      <c r="D1650" s="1">
        <f>IFERROR(__xludf.DUMMYFUNCTION("""COMPUTED_VALUE"""),29.78)</f>
        <v>29.78</v>
      </c>
      <c r="E1650" s="1">
        <f>IFERROR(__xludf.DUMMYFUNCTION("""COMPUTED_VALUE"""),29.79)</f>
        <v>29.79</v>
      </c>
      <c r="F1650" s="1">
        <f>IFERROR(__xludf.DUMMYFUNCTION("""COMPUTED_VALUE"""),912849.0)</f>
        <v>912849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IFERROR(__xludf.DUMMYFUNCTION("""COMPUTED_VALUE"""),29.89)</f>
        <v>29.89</v>
      </c>
      <c r="C1651" s="1">
        <f>IFERROR(__xludf.DUMMYFUNCTION("""COMPUTED_VALUE"""),30.42)</f>
        <v>30.42</v>
      </c>
      <c r="D1651" s="1">
        <f>IFERROR(__xludf.DUMMYFUNCTION("""COMPUTED_VALUE"""),29.71)</f>
        <v>29.71</v>
      </c>
      <c r="E1651" s="1">
        <f>IFERROR(__xludf.DUMMYFUNCTION("""COMPUTED_VALUE"""),30.32)</f>
        <v>30.32</v>
      </c>
      <c r="F1651" s="1">
        <f>IFERROR(__xludf.DUMMYFUNCTION("""COMPUTED_VALUE"""),411287.0)</f>
        <v>411287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IFERROR(__xludf.DUMMYFUNCTION("""COMPUTED_VALUE"""),30.32)</f>
        <v>30.32</v>
      </c>
      <c r="C1652" s="1">
        <f>IFERROR(__xludf.DUMMYFUNCTION("""COMPUTED_VALUE"""),30.36)</f>
        <v>30.36</v>
      </c>
      <c r="D1652" s="1">
        <f>IFERROR(__xludf.DUMMYFUNCTION("""COMPUTED_VALUE"""),29.96)</f>
        <v>29.96</v>
      </c>
      <c r="E1652" s="1">
        <f>IFERROR(__xludf.DUMMYFUNCTION("""COMPUTED_VALUE"""),29.97)</f>
        <v>29.97</v>
      </c>
      <c r="F1652" s="1">
        <f>IFERROR(__xludf.DUMMYFUNCTION("""COMPUTED_VALUE"""),392060.0)</f>
        <v>392060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IFERROR(__xludf.DUMMYFUNCTION("""COMPUTED_VALUE"""),29.92)</f>
        <v>29.92</v>
      </c>
      <c r="C1653" s="1">
        <f>IFERROR(__xludf.DUMMYFUNCTION("""COMPUTED_VALUE"""),30.26)</f>
        <v>30.26</v>
      </c>
      <c r="D1653" s="1">
        <f>IFERROR(__xludf.DUMMYFUNCTION("""COMPUTED_VALUE"""),29.92)</f>
        <v>29.92</v>
      </c>
      <c r="E1653" s="1">
        <f>IFERROR(__xludf.DUMMYFUNCTION("""COMPUTED_VALUE"""),30.23)</f>
        <v>30.23</v>
      </c>
      <c r="F1653" s="1">
        <f>IFERROR(__xludf.DUMMYFUNCTION("""COMPUTED_VALUE"""),358404.0)</f>
        <v>358404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IFERROR(__xludf.DUMMYFUNCTION("""COMPUTED_VALUE"""),30.16)</f>
        <v>30.16</v>
      </c>
      <c r="C1654" s="1">
        <f>IFERROR(__xludf.DUMMYFUNCTION("""COMPUTED_VALUE"""),30.57)</f>
        <v>30.57</v>
      </c>
      <c r="D1654" s="1">
        <f>IFERROR(__xludf.DUMMYFUNCTION("""COMPUTED_VALUE"""),30.16)</f>
        <v>30.16</v>
      </c>
      <c r="E1654" s="1">
        <f>IFERROR(__xludf.DUMMYFUNCTION("""COMPUTED_VALUE"""),30.34)</f>
        <v>30.34</v>
      </c>
      <c r="F1654" s="1">
        <f>IFERROR(__xludf.DUMMYFUNCTION("""COMPUTED_VALUE"""),340174.0)</f>
        <v>340174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IFERROR(__xludf.DUMMYFUNCTION("""COMPUTED_VALUE"""),30.21)</f>
        <v>30.21</v>
      </c>
      <c r="C1655" s="1">
        <f>IFERROR(__xludf.DUMMYFUNCTION("""COMPUTED_VALUE"""),30.47)</f>
        <v>30.47</v>
      </c>
      <c r="D1655" s="1">
        <f>IFERROR(__xludf.DUMMYFUNCTION("""COMPUTED_VALUE"""),30.02)</f>
        <v>30.02</v>
      </c>
      <c r="E1655" s="1">
        <f>IFERROR(__xludf.DUMMYFUNCTION("""COMPUTED_VALUE"""),30.23)</f>
        <v>30.23</v>
      </c>
      <c r="F1655" s="1">
        <f>IFERROR(__xludf.DUMMYFUNCTION("""COMPUTED_VALUE"""),307738.0)</f>
        <v>307738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IFERROR(__xludf.DUMMYFUNCTION("""COMPUTED_VALUE"""),30.2)</f>
        <v>30.2</v>
      </c>
      <c r="C1656" s="1">
        <f>IFERROR(__xludf.DUMMYFUNCTION("""COMPUTED_VALUE"""),30.29)</f>
        <v>30.29</v>
      </c>
      <c r="D1656" s="1">
        <f>IFERROR(__xludf.DUMMYFUNCTION("""COMPUTED_VALUE"""),29.62)</f>
        <v>29.62</v>
      </c>
      <c r="E1656" s="1">
        <f>IFERROR(__xludf.DUMMYFUNCTION("""COMPUTED_VALUE"""),29.98)</f>
        <v>29.98</v>
      </c>
      <c r="F1656" s="1">
        <f>IFERROR(__xludf.DUMMYFUNCTION("""COMPUTED_VALUE"""),482577.0)</f>
        <v>482577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IFERROR(__xludf.DUMMYFUNCTION("""COMPUTED_VALUE"""),29.94)</f>
        <v>29.94</v>
      </c>
      <c r="C1657" s="1">
        <f>IFERROR(__xludf.DUMMYFUNCTION("""COMPUTED_VALUE"""),30.24)</f>
        <v>30.24</v>
      </c>
      <c r="D1657" s="1">
        <f>IFERROR(__xludf.DUMMYFUNCTION("""COMPUTED_VALUE"""),29.7)</f>
        <v>29.7</v>
      </c>
      <c r="E1657" s="1">
        <f>IFERROR(__xludf.DUMMYFUNCTION("""COMPUTED_VALUE"""),29.76)</f>
        <v>29.76</v>
      </c>
      <c r="F1657" s="1">
        <f>IFERROR(__xludf.DUMMYFUNCTION("""COMPUTED_VALUE"""),266742.0)</f>
        <v>266742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IFERROR(__xludf.DUMMYFUNCTION("""COMPUTED_VALUE"""),29.77)</f>
        <v>29.77</v>
      </c>
      <c r="C1658" s="1">
        <f>IFERROR(__xludf.DUMMYFUNCTION("""COMPUTED_VALUE"""),29.84)</f>
        <v>29.84</v>
      </c>
      <c r="D1658" s="1">
        <f>IFERROR(__xludf.DUMMYFUNCTION("""COMPUTED_VALUE"""),29.41)</f>
        <v>29.41</v>
      </c>
      <c r="E1658" s="1">
        <f>IFERROR(__xludf.DUMMYFUNCTION("""COMPUTED_VALUE"""),29.48)</f>
        <v>29.48</v>
      </c>
      <c r="F1658" s="1">
        <f>IFERROR(__xludf.DUMMYFUNCTION("""COMPUTED_VALUE"""),278880.0)</f>
        <v>278880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IFERROR(__xludf.DUMMYFUNCTION("""COMPUTED_VALUE"""),29.52)</f>
        <v>29.52</v>
      </c>
      <c r="C1659" s="1">
        <f>IFERROR(__xludf.DUMMYFUNCTION("""COMPUTED_VALUE"""),29.91)</f>
        <v>29.91</v>
      </c>
      <c r="D1659" s="1">
        <f>IFERROR(__xludf.DUMMYFUNCTION("""COMPUTED_VALUE"""),29.52)</f>
        <v>29.52</v>
      </c>
      <c r="E1659" s="1">
        <f>IFERROR(__xludf.DUMMYFUNCTION("""COMPUTED_VALUE"""),29.91)</f>
        <v>29.91</v>
      </c>
      <c r="F1659" s="1">
        <f>IFERROR(__xludf.DUMMYFUNCTION("""COMPUTED_VALUE"""),263442.0)</f>
        <v>263442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IFERROR(__xludf.DUMMYFUNCTION("""COMPUTED_VALUE"""),29.76)</f>
        <v>29.76</v>
      </c>
      <c r="C1660" s="1">
        <f>IFERROR(__xludf.DUMMYFUNCTION("""COMPUTED_VALUE"""),30.0)</f>
        <v>30</v>
      </c>
      <c r="D1660" s="1">
        <f>IFERROR(__xludf.DUMMYFUNCTION("""COMPUTED_VALUE"""),29.51)</f>
        <v>29.51</v>
      </c>
      <c r="E1660" s="1">
        <f>IFERROR(__xludf.DUMMYFUNCTION("""COMPUTED_VALUE"""),29.76)</f>
        <v>29.76</v>
      </c>
      <c r="F1660" s="1">
        <f>IFERROR(__xludf.DUMMYFUNCTION("""COMPUTED_VALUE"""),243635.0)</f>
        <v>243635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IFERROR(__xludf.DUMMYFUNCTION("""COMPUTED_VALUE"""),30.11)</f>
        <v>30.11</v>
      </c>
      <c r="C1661" s="1">
        <f>IFERROR(__xludf.DUMMYFUNCTION("""COMPUTED_VALUE"""),30.82)</f>
        <v>30.82</v>
      </c>
      <c r="D1661" s="1">
        <f>IFERROR(__xludf.DUMMYFUNCTION("""COMPUTED_VALUE"""),30.11)</f>
        <v>30.11</v>
      </c>
      <c r="E1661" s="1">
        <f>IFERROR(__xludf.DUMMYFUNCTION("""COMPUTED_VALUE"""),30.81)</f>
        <v>30.81</v>
      </c>
      <c r="F1661" s="1">
        <f>IFERROR(__xludf.DUMMYFUNCTION("""COMPUTED_VALUE"""),677673.0)</f>
        <v>677673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IFERROR(__xludf.DUMMYFUNCTION("""COMPUTED_VALUE"""),30.89)</f>
        <v>30.89</v>
      </c>
      <c r="C1662" s="1">
        <f>IFERROR(__xludf.DUMMYFUNCTION("""COMPUTED_VALUE"""),30.95)</f>
        <v>30.95</v>
      </c>
      <c r="D1662" s="1">
        <f>IFERROR(__xludf.DUMMYFUNCTION("""COMPUTED_VALUE"""),30.44)</f>
        <v>30.44</v>
      </c>
      <c r="E1662" s="1">
        <f>IFERROR(__xludf.DUMMYFUNCTION("""COMPUTED_VALUE"""),30.56)</f>
        <v>30.56</v>
      </c>
      <c r="F1662" s="1">
        <f>IFERROR(__xludf.DUMMYFUNCTION("""COMPUTED_VALUE"""),224060.0)</f>
        <v>224060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IFERROR(__xludf.DUMMYFUNCTION("""COMPUTED_VALUE"""),30.49)</f>
        <v>30.49</v>
      </c>
      <c r="C1663" s="1">
        <f>IFERROR(__xludf.DUMMYFUNCTION("""COMPUTED_VALUE"""),30.87)</f>
        <v>30.87</v>
      </c>
      <c r="D1663" s="1">
        <f>IFERROR(__xludf.DUMMYFUNCTION("""COMPUTED_VALUE"""),30.49)</f>
        <v>30.49</v>
      </c>
      <c r="E1663" s="1">
        <f>IFERROR(__xludf.DUMMYFUNCTION("""COMPUTED_VALUE"""),30.82)</f>
        <v>30.82</v>
      </c>
      <c r="F1663" s="1">
        <f>IFERROR(__xludf.DUMMYFUNCTION("""COMPUTED_VALUE"""),259000.0)</f>
        <v>259000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IFERROR(__xludf.DUMMYFUNCTION("""COMPUTED_VALUE"""),30.83)</f>
        <v>30.83</v>
      </c>
      <c r="C1664" s="1">
        <f>IFERROR(__xludf.DUMMYFUNCTION("""COMPUTED_VALUE"""),30.83)</f>
        <v>30.83</v>
      </c>
      <c r="D1664" s="1">
        <f>IFERROR(__xludf.DUMMYFUNCTION("""COMPUTED_VALUE"""),30.3)</f>
        <v>30.3</v>
      </c>
      <c r="E1664" s="1">
        <f>IFERROR(__xludf.DUMMYFUNCTION("""COMPUTED_VALUE"""),30.4)</f>
        <v>30.4</v>
      </c>
      <c r="F1664" s="1">
        <f>IFERROR(__xludf.DUMMYFUNCTION("""COMPUTED_VALUE"""),255306.0)</f>
        <v>255306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IFERROR(__xludf.DUMMYFUNCTION("""COMPUTED_VALUE"""),30.59)</f>
        <v>30.59</v>
      </c>
      <c r="C1665" s="1">
        <f>IFERROR(__xludf.DUMMYFUNCTION("""COMPUTED_VALUE"""),30.74)</f>
        <v>30.74</v>
      </c>
      <c r="D1665" s="1">
        <f>IFERROR(__xludf.DUMMYFUNCTION("""COMPUTED_VALUE"""),30.4)</f>
        <v>30.4</v>
      </c>
      <c r="E1665" s="1">
        <f>IFERROR(__xludf.DUMMYFUNCTION("""COMPUTED_VALUE"""),30.6)</f>
        <v>30.6</v>
      </c>
      <c r="F1665" s="1">
        <f>IFERROR(__xludf.DUMMYFUNCTION("""COMPUTED_VALUE"""),302707.0)</f>
        <v>302707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IFERROR(__xludf.DUMMYFUNCTION("""COMPUTED_VALUE"""),30.4)</f>
        <v>30.4</v>
      </c>
      <c r="C1666" s="1">
        <f>IFERROR(__xludf.DUMMYFUNCTION("""COMPUTED_VALUE"""),30.51)</f>
        <v>30.51</v>
      </c>
      <c r="D1666" s="1">
        <f>IFERROR(__xludf.DUMMYFUNCTION("""COMPUTED_VALUE"""),30.28)</f>
        <v>30.28</v>
      </c>
      <c r="E1666" s="1">
        <f>IFERROR(__xludf.DUMMYFUNCTION("""COMPUTED_VALUE"""),30.5)</f>
        <v>30.5</v>
      </c>
      <c r="F1666" s="1">
        <f>IFERROR(__xludf.DUMMYFUNCTION("""COMPUTED_VALUE"""),212950.0)</f>
        <v>212950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IFERROR(__xludf.DUMMYFUNCTION("""COMPUTED_VALUE"""),30.63)</f>
        <v>30.63</v>
      </c>
      <c r="C1667" s="1">
        <f>IFERROR(__xludf.DUMMYFUNCTION("""COMPUTED_VALUE"""),30.97)</f>
        <v>30.97</v>
      </c>
      <c r="D1667" s="1">
        <f>IFERROR(__xludf.DUMMYFUNCTION("""COMPUTED_VALUE"""),30.4)</f>
        <v>30.4</v>
      </c>
      <c r="E1667" s="1">
        <f>IFERROR(__xludf.DUMMYFUNCTION("""COMPUTED_VALUE"""),30.93)</f>
        <v>30.93</v>
      </c>
      <c r="F1667" s="1">
        <f>IFERROR(__xludf.DUMMYFUNCTION("""COMPUTED_VALUE"""),170460.0)</f>
        <v>170460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IFERROR(__xludf.DUMMYFUNCTION("""COMPUTED_VALUE"""),30.8)</f>
        <v>30.8</v>
      </c>
      <c r="C1668" s="1">
        <f>IFERROR(__xludf.DUMMYFUNCTION("""COMPUTED_VALUE"""),30.94)</f>
        <v>30.94</v>
      </c>
      <c r="D1668" s="1">
        <f>IFERROR(__xludf.DUMMYFUNCTION("""COMPUTED_VALUE"""),30.64)</f>
        <v>30.64</v>
      </c>
      <c r="E1668" s="1">
        <f>IFERROR(__xludf.DUMMYFUNCTION("""COMPUTED_VALUE"""),30.66)</f>
        <v>30.66</v>
      </c>
      <c r="F1668" s="1">
        <f>IFERROR(__xludf.DUMMYFUNCTION("""COMPUTED_VALUE"""),343417.0)</f>
        <v>343417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IFERROR(__xludf.DUMMYFUNCTION("""COMPUTED_VALUE"""),30.61)</f>
        <v>30.61</v>
      </c>
      <c r="C1669" s="1">
        <f>IFERROR(__xludf.DUMMYFUNCTION("""COMPUTED_VALUE"""),30.91)</f>
        <v>30.91</v>
      </c>
      <c r="D1669" s="1">
        <f>IFERROR(__xludf.DUMMYFUNCTION("""COMPUTED_VALUE"""),30.53)</f>
        <v>30.53</v>
      </c>
      <c r="E1669" s="1">
        <f>IFERROR(__xludf.DUMMYFUNCTION("""COMPUTED_VALUE"""),30.81)</f>
        <v>30.81</v>
      </c>
      <c r="F1669" s="1">
        <f>IFERROR(__xludf.DUMMYFUNCTION("""COMPUTED_VALUE"""),227576.0)</f>
        <v>227576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IFERROR(__xludf.DUMMYFUNCTION("""COMPUTED_VALUE"""),30.81)</f>
        <v>30.81</v>
      </c>
      <c r="C1670" s="1">
        <f>IFERROR(__xludf.DUMMYFUNCTION("""COMPUTED_VALUE"""),31.1)</f>
        <v>31.1</v>
      </c>
      <c r="D1670" s="1">
        <f>IFERROR(__xludf.DUMMYFUNCTION("""COMPUTED_VALUE"""),30.68)</f>
        <v>30.68</v>
      </c>
      <c r="E1670" s="1">
        <f>IFERROR(__xludf.DUMMYFUNCTION("""COMPUTED_VALUE"""),31.07)</f>
        <v>31.07</v>
      </c>
      <c r="F1670" s="1">
        <f>IFERROR(__xludf.DUMMYFUNCTION("""COMPUTED_VALUE"""),278708.0)</f>
        <v>278708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IFERROR(__xludf.DUMMYFUNCTION("""COMPUTED_VALUE"""),31.06)</f>
        <v>31.06</v>
      </c>
      <c r="C1671" s="1">
        <f>IFERROR(__xludf.DUMMYFUNCTION("""COMPUTED_VALUE"""),31.12)</f>
        <v>31.12</v>
      </c>
      <c r="D1671" s="1">
        <f>IFERROR(__xludf.DUMMYFUNCTION("""COMPUTED_VALUE"""),30.77)</f>
        <v>30.77</v>
      </c>
      <c r="E1671" s="1">
        <f>IFERROR(__xludf.DUMMYFUNCTION("""COMPUTED_VALUE"""),30.98)</f>
        <v>30.98</v>
      </c>
      <c r="F1671" s="1">
        <f>IFERROR(__xludf.DUMMYFUNCTION("""COMPUTED_VALUE"""),386614.0)</f>
        <v>386614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IFERROR(__xludf.DUMMYFUNCTION("""COMPUTED_VALUE"""),30.9)</f>
        <v>30.9</v>
      </c>
      <c r="C1672" s="1">
        <f>IFERROR(__xludf.DUMMYFUNCTION("""COMPUTED_VALUE"""),31.01)</f>
        <v>31.01</v>
      </c>
      <c r="D1672" s="1">
        <f>IFERROR(__xludf.DUMMYFUNCTION("""COMPUTED_VALUE"""),30.65)</f>
        <v>30.65</v>
      </c>
      <c r="E1672" s="1">
        <f>IFERROR(__xludf.DUMMYFUNCTION("""COMPUTED_VALUE"""),30.9)</f>
        <v>30.9</v>
      </c>
      <c r="F1672" s="1">
        <f>IFERROR(__xludf.DUMMYFUNCTION("""COMPUTED_VALUE"""),276692.0)</f>
        <v>276692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IFERROR(__xludf.DUMMYFUNCTION("""COMPUTED_VALUE"""),31.08)</f>
        <v>31.08</v>
      </c>
      <c r="C1673" s="1">
        <f>IFERROR(__xludf.DUMMYFUNCTION("""COMPUTED_VALUE"""),31.11)</f>
        <v>31.11</v>
      </c>
      <c r="D1673" s="1">
        <f>IFERROR(__xludf.DUMMYFUNCTION("""COMPUTED_VALUE"""),30.81)</f>
        <v>30.81</v>
      </c>
      <c r="E1673" s="1">
        <f>IFERROR(__xludf.DUMMYFUNCTION("""COMPUTED_VALUE"""),30.89)</f>
        <v>30.89</v>
      </c>
      <c r="F1673" s="1">
        <f>IFERROR(__xludf.DUMMYFUNCTION("""COMPUTED_VALUE"""),292465.0)</f>
        <v>292465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IFERROR(__xludf.DUMMYFUNCTION("""COMPUTED_VALUE"""),30.94)</f>
        <v>30.94</v>
      </c>
      <c r="C1674" s="1">
        <f>IFERROR(__xludf.DUMMYFUNCTION("""COMPUTED_VALUE"""),31.06)</f>
        <v>31.06</v>
      </c>
      <c r="D1674" s="1">
        <f>IFERROR(__xludf.DUMMYFUNCTION("""COMPUTED_VALUE"""),30.77)</f>
        <v>30.77</v>
      </c>
      <c r="E1674" s="1">
        <f>IFERROR(__xludf.DUMMYFUNCTION("""COMPUTED_VALUE"""),30.84)</f>
        <v>30.84</v>
      </c>
      <c r="F1674" s="1">
        <f>IFERROR(__xludf.DUMMYFUNCTION("""COMPUTED_VALUE"""),250276.0)</f>
        <v>250276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IFERROR(__xludf.DUMMYFUNCTION("""COMPUTED_VALUE"""),30.85)</f>
        <v>30.85</v>
      </c>
      <c r="C1675" s="1">
        <f>IFERROR(__xludf.DUMMYFUNCTION("""COMPUTED_VALUE"""),31.05)</f>
        <v>31.05</v>
      </c>
      <c r="D1675" s="1">
        <f>IFERROR(__xludf.DUMMYFUNCTION("""COMPUTED_VALUE"""),30.77)</f>
        <v>30.77</v>
      </c>
      <c r="E1675" s="1">
        <f>IFERROR(__xludf.DUMMYFUNCTION("""COMPUTED_VALUE"""),31.04)</f>
        <v>31.04</v>
      </c>
      <c r="F1675" s="1">
        <f>IFERROR(__xludf.DUMMYFUNCTION("""COMPUTED_VALUE"""),332448.0)</f>
        <v>332448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IFERROR(__xludf.DUMMYFUNCTION("""COMPUTED_VALUE"""),31.05)</f>
        <v>31.05</v>
      </c>
      <c r="C1676" s="1">
        <f>IFERROR(__xludf.DUMMYFUNCTION("""COMPUTED_VALUE"""),31.24)</f>
        <v>31.24</v>
      </c>
      <c r="D1676" s="1">
        <f>IFERROR(__xludf.DUMMYFUNCTION("""COMPUTED_VALUE"""),30.93)</f>
        <v>30.93</v>
      </c>
      <c r="E1676" s="1">
        <f>IFERROR(__xludf.DUMMYFUNCTION("""COMPUTED_VALUE"""),31.14)</f>
        <v>31.14</v>
      </c>
      <c r="F1676" s="1">
        <f>IFERROR(__xludf.DUMMYFUNCTION("""COMPUTED_VALUE"""),472514.0)</f>
        <v>472514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IFERROR(__xludf.DUMMYFUNCTION("""COMPUTED_VALUE"""),31.2)</f>
        <v>31.2</v>
      </c>
      <c r="C1677" s="1">
        <f>IFERROR(__xludf.DUMMYFUNCTION("""COMPUTED_VALUE"""),31.36)</f>
        <v>31.36</v>
      </c>
      <c r="D1677" s="1">
        <f>IFERROR(__xludf.DUMMYFUNCTION("""COMPUTED_VALUE"""),30.75)</f>
        <v>30.75</v>
      </c>
      <c r="E1677" s="1">
        <f>IFERROR(__xludf.DUMMYFUNCTION("""COMPUTED_VALUE"""),31.26)</f>
        <v>31.26</v>
      </c>
      <c r="F1677" s="1">
        <f>IFERROR(__xludf.DUMMYFUNCTION("""COMPUTED_VALUE"""),387856.0)</f>
        <v>387856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IFERROR(__xludf.DUMMYFUNCTION("""COMPUTED_VALUE"""),31.21)</f>
        <v>31.21</v>
      </c>
      <c r="C1678" s="1">
        <f>IFERROR(__xludf.DUMMYFUNCTION("""COMPUTED_VALUE"""),31.44)</f>
        <v>31.44</v>
      </c>
      <c r="D1678" s="1">
        <f>IFERROR(__xludf.DUMMYFUNCTION("""COMPUTED_VALUE"""),31.16)</f>
        <v>31.16</v>
      </c>
      <c r="E1678" s="1">
        <f>IFERROR(__xludf.DUMMYFUNCTION("""COMPUTED_VALUE"""),31.44)</f>
        <v>31.44</v>
      </c>
      <c r="F1678" s="1">
        <f>IFERROR(__xludf.DUMMYFUNCTION("""COMPUTED_VALUE"""),311446.0)</f>
        <v>311446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IFERROR(__xludf.DUMMYFUNCTION("""COMPUTED_VALUE"""),31.45)</f>
        <v>31.45</v>
      </c>
      <c r="C1679" s="1">
        <f>IFERROR(__xludf.DUMMYFUNCTION("""COMPUTED_VALUE"""),31.57)</f>
        <v>31.57</v>
      </c>
      <c r="D1679" s="1">
        <f>IFERROR(__xludf.DUMMYFUNCTION("""COMPUTED_VALUE"""),31.09)</f>
        <v>31.09</v>
      </c>
      <c r="E1679" s="1">
        <f>IFERROR(__xludf.DUMMYFUNCTION("""COMPUTED_VALUE"""),31.42)</f>
        <v>31.42</v>
      </c>
      <c r="F1679" s="1">
        <f>IFERROR(__xludf.DUMMYFUNCTION("""COMPUTED_VALUE"""),452614.0)</f>
        <v>452614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IFERROR(__xludf.DUMMYFUNCTION("""COMPUTED_VALUE"""),31.5)</f>
        <v>31.5</v>
      </c>
      <c r="C1680" s="1">
        <f>IFERROR(__xludf.DUMMYFUNCTION("""COMPUTED_VALUE"""),31.65)</f>
        <v>31.65</v>
      </c>
      <c r="D1680" s="1">
        <f>IFERROR(__xludf.DUMMYFUNCTION("""COMPUTED_VALUE"""),31.01)</f>
        <v>31.01</v>
      </c>
      <c r="E1680" s="1">
        <f>IFERROR(__xludf.DUMMYFUNCTION("""COMPUTED_VALUE"""),31.25)</f>
        <v>31.25</v>
      </c>
      <c r="F1680" s="1">
        <f>IFERROR(__xludf.DUMMYFUNCTION("""COMPUTED_VALUE"""),400952.0)</f>
        <v>400952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IFERROR(__xludf.DUMMYFUNCTION("""COMPUTED_VALUE"""),31.43)</f>
        <v>31.43</v>
      </c>
      <c r="C1681" s="1">
        <f>IFERROR(__xludf.DUMMYFUNCTION("""COMPUTED_VALUE"""),31.54)</f>
        <v>31.54</v>
      </c>
      <c r="D1681" s="1">
        <f>IFERROR(__xludf.DUMMYFUNCTION("""COMPUTED_VALUE"""),31.09)</f>
        <v>31.09</v>
      </c>
      <c r="E1681" s="1">
        <f>IFERROR(__xludf.DUMMYFUNCTION("""COMPUTED_VALUE"""),31.53)</f>
        <v>31.53</v>
      </c>
      <c r="F1681" s="1">
        <f>IFERROR(__xludf.DUMMYFUNCTION("""COMPUTED_VALUE"""),349501.0)</f>
        <v>349501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IFERROR(__xludf.DUMMYFUNCTION("""COMPUTED_VALUE"""),31.57)</f>
        <v>31.57</v>
      </c>
      <c r="C1682" s="1">
        <f>IFERROR(__xludf.DUMMYFUNCTION("""COMPUTED_VALUE"""),31.6)</f>
        <v>31.6</v>
      </c>
      <c r="D1682" s="1">
        <f>IFERROR(__xludf.DUMMYFUNCTION("""COMPUTED_VALUE"""),30.74)</f>
        <v>30.74</v>
      </c>
      <c r="E1682" s="1">
        <f>IFERROR(__xludf.DUMMYFUNCTION("""COMPUTED_VALUE"""),30.82)</f>
        <v>30.82</v>
      </c>
      <c r="F1682" s="1">
        <f>IFERROR(__xludf.DUMMYFUNCTION("""COMPUTED_VALUE"""),279857.0)</f>
        <v>279857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IFERROR(__xludf.DUMMYFUNCTION("""COMPUTED_VALUE"""),30.72)</f>
        <v>30.72</v>
      </c>
      <c r="C1683" s="1">
        <f>IFERROR(__xludf.DUMMYFUNCTION("""COMPUTED_VALUE"""),31.25)</f>
        <v>31.25</v>
      </c>
      <c r="D1683" s="1">
        <f>IFERROR(__xludf.DUMMYFUNCTION("""COMPUTED_VALUE"""),30.72)</f>
        <v>30.72</v>
      </c>
      <c r="E1683" s="1">
        <f>IFERROR(__xludf.DUMMYFUNCTION("""COMPUTED_VALUE"""),31.25)</f>
        <v>31.25</v>
      </c>
      <c r="F1683" s="1">
        <f>IFERROR(__xludf.DUMMYFUNCTION("""COMPUTED_VALUE"""),344573.0)</f>
        <v>344573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IFERROR(__xludf.DUMMYFUNCTION("""COMPUTED_VALUE"""),31.19)</f>
        <v>31.19</v>
      </c>
      <c r="C1684" s="1">
        <f>IFERROR(__xludf.DUMMYFUNCTION("""COMPUTED_VALUE"""),31.34)</f>
        <v>31.34</v>
      </c>
      <c r="D1684" s="1">
        <f>IFERROR(__xludf.DUMMYFUNCTION("""COMPUTED_VALUE"""),31.08)</f>
        <v>31.08</v>
      </c>
      <c r="E1684" s="1">
        <f>IFERROR(__xludf.DUMMYFUNCTION("""COMPUTED_VALUE"""),31.27)</f>
        <v>31.27</v>
      </c>
      <c r="F1684" s="1">
        <f>IFERROR(__xludf.DUMMYFUNCTION("""COMPUTED_VALUE"""),272520.0)</f>
        <v>272520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IFERROR(__xludf.DUMMYFUNCTION("""COMPUTED_VALUE"""),31.18)</f>
        <v>31.18</v>
      </c>
      <c r="C1685" s="1">
        <f>IFERROR(__xludf.DUMMYFUNCTION("""COMPUTED_VALUE"""),31.62)</f>
        <v>31.62</v>
      </c>
      <c r="D1685" s="1">
        <f>IFERROR(__xludf.DUMMYFUNCTION("""COMPUTED_VALUE"""),31.16)</f>
        <v>31.16</v>
      </c>
      <c r="E1685" s="1">
        <f>IFERROR(__xludf.DUMMYFUNCTION("""COMPUTED_VALUE"""),31.3)</f>
        <v>31.3</v>
      </c>
      <c r="F1685" s="1">
        <f>IFERROR(__xludf.DUMMYFUNCTION("""COMPUTED_VALUE"""),1009596.0)</f>
        <v>1009596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IFERROR(__xludf.DUMMYFUNCTION("""COMPUTED_VALUE"""),31.2)</f>
        <v>31.2</v>
      </c>
      <c r="C1686" s="1">
        <f>IFERROR(__xludf.DUMMYFUNCTION("""COMPUTED_VALUE"""),31.58)</f>
        <v>31.58</v>
      </c>
      <c r="D1686" s="1">
        <f>IFERROR(__xludf.DUMMYFUNCTION("""COMPUTED_VALUE"""),30.73)</f>
        <v>30.73</v>
      </c>
      <c r="E1686" s="1">
        <f>IFERROR(__xludf.DUMMYFUNCTION("""COMPUTED_VALUE"""),31.5)</f>
        <v>31.5</v>
      </c>
      <c r="F1686" s="1">
        <f>IFERROR(__xludf.DUMMYFUNCTION("""COMPUTED_VALUE"""),788223.0)</f>
        <v>788223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IFERROR(__xludf.DUMMYFUNCTION("""COMPUTED_VALUE"""),31.35)</f>
        <v>31.35</v>
      </c>
      <c r="C1687" s="1">
        <f>IFERROR(__xludf.DUMMYFUNCTION("""COMPUTED_VALUE"""),31.35)</f>
        <v>31.35</v>
      </c>
      <c r="D1687" s="1">
        <f>IFERROR(__xludf.DUMMYFUNCTION("""COMPUTED_VALUE"""),30.49)</f>
        <v>30.49</v>
      </c>
      <c r="E1687" s="1">
        <f>IFERROR(__xludf.DUMMYFUNCTION("""COMPUTED_VALUE"""),30.74)</f>
        <v>30.74</v>
      </c>
      <c r="F1687" s="1">
        <f>IFERROR(__xludf.DUMMYFUNCTION("""COMPUTED_VALUE"""),622476.0)</f>
        <v>622476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IFERROR(__xludf.DUMMYFUNCTION("""COMPUTED_VALUE"""),30.7)</f>
        <v>30.7</v>
      </c>
      <c r="C1688" s="1">
        <f>IFERROR(__xludf.DUMMYFUNCTION("""COMPUTED_VALUE"""),30.85)</f>
        <v>30.85</v>
      </c>
      <c r="D1688" s="1">
        <f>IFERROR(__xludf.DUMMYFUNCTION("""COMPUTED_VALUE"""),30.25)</f>
        <v>30.25</v>
      </c>
      <c r="E1688" s="1">
        <f>IFERROR(__xludf.DUMMYFUNCTION("""COMPUTED_VALUE"""),30.28)</f>
        <v>30.28</v>
      </c>
      <c r="F1688" s="1">
        <f>IFERROR(__xludf.DUMMYFUNCTION("""COMPUTED_VALUE"""),484215.0)</f>
        <v>484215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IFERROR(__xludf.DUMMYFUNCTION("""COMPUTED_VALUE"""),30.3)</f>
        <v>30.3</v>
      </c>
      <c r="C1689" s="1">
        <f>IFERROR(__xludf.DUMMYFUNCTION("""COMPUTED_VALUE"""),30.68)</f>
        <v>30.68</v>
      </c>
      <c r="D1689" s="1">
        <f>IFERROR(__xludf.DUMMYFUNCTION("""COMPUTED_VALUE"""),30.28)</f>
        <v>30.28</v>
      </c>
      <c r="E1689" s="1">
        <f>IFERROR(__xludf.DUMMYFUNCTION("""COMPUTED_VALUE"""),30.66)</f>
        <v>30.66</v>
      </c>
      <c r="F1689" s="1">
        <f>IFERROR(__xludf.DUMMYFUNCTION("""COMPUTED_VALUE"""),296078.0)</f>
        <v>296078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IFERROR(__xludf.DUMMYFUNCTION("""COMPUTED_VALUE"""),30.61)</f>
        <v>30.61</v>
      </c>
      <c r="C1690" s="1">
        <f>IFERROR(__xludf.DUMMYFUNCTION("""COMPUTED_VALUE"""),30.61)</f>
        <v>30.61</v>
      </c>
      <c r="D1690" s="1">
        <f>IFERROR(__xludf.DUMMYFUNCTION("""COMPUTED_VALUE"""),30.18)</f>
        <v>30.18</v>
      </c>
      <c r="E1690" s="1">
        <f>IFERROR(__xludf.DUMMYFUNCTION("""COMPUTED_VALUE"""),30.46)</f>
        <v>30.46</v>
      </c>
      <c r="F1690" s="1">
        <f>IFERROR(__xludf.DUMMYFUNCTION("""COMPUTED_VALUE"""),680270.0)</f>
        <v>680270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IFERROR(__xludf.DUMMYFUNCTION("""COMPUTED_VALUE"""),30.61)</f>
        <v>30.61</v>
      </c>
      <c r="C1691" s="1">
        <f>IFERROR(__xludf.DUMMYFUNCTION("""COMPUTED_VALUE"""),30.81)</f>
        <v>30.81</v>
      </c>
      <c r="D1691" s="1">
        <f>IFERROR(__xludf.DUMMYFUNCTION("""COMPUTED_VALUE"""),30.44)</f>
        <v>30.44</v>
      </c>
      <c r="E1691" s="1">
        <f>IFERROR(__xludf.DUMMYFUNCTION("""COMPUTED_VALUE"""),30.71)</f>
        <v>30.71</v>
      </c>
      <c r="F1691" s="1">
        <f>IFERROR(__xludf.DUMMYFUNCTION("""COMPUTED_VALUE"""),266506.0)</f>
        <v>266506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IFERROR(__xludf.DUMMYFUNCTION("""COMPUTED_VALUE"""),30.86)</f>
        <v>30.86</v>
      </c>
      <c r="C1692" s="1">
        <f>IFERROR(__xludf.DUMMYFUNCTION("""COMPUTED_VALUE"""),30.86)</f>
        <v>30.86</v>
      </c>
      <c r="D1692" s="1">
        <f>IFERROR(__xludf.DUMMYFUNCTION("""COMPUTED_VALUE"""),30.64)</f>
        <v>30.64</v>
      </c>
      <c r="E1692" s="1">
        <f>IFERROR(__xludf.DUMMYFUNCTION("""COMPUTED_VALUE"""),30.64)</f>
        <v>30.64</v>
      </c>
      <c r="F1692" s="1">
        <f>IFERROR(__xludf.DUMMYFUNCTION("""COMPUTED_VALUE"""),234639.0)</f>
        <v>234639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IFERROR(__xludf.DUMMYFUNCTION("""COMPUTED_VALUE"""),30.15)</f>
        <v>30.15</v>
      </c>
      <c r="C1693" s="1">
        <f>IFERROR(__xludf.DUMMYFUNCTION("""COMPUTED_VALUE"""),31.0)</f>
        <v>31</v>
      </c>
      <c r="D1693" s="1">
        <f>IFERROR(__xludf.DUMMYFUNCTION("""COMPUTED_VALUE"""),30.15)</f>
        <v>30.15</v>
      </c>
      <c r="E1693" s="1">
        <f>IFERROR(__xludf.DUMMYFUNCTION("""COMPUTED_VALUE"""),30.84)</f>
        <v>30.84</v>
      </c>
      <c r="F1693" s="1">
        <f>IFERROR(__xludf.DUMMYFUNCTION("""COMPUTED_VALUE"""),230307.0)</f>
        <v>230307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IFERROR(__xludf.DUMMYFUNCTION("""COMPUTED_VALUE"""),30.92)</f>
        <v>30.92</v>
      </c>
      <c r="C1694" s="1">
        <f>IFERROR(__xludf.DUMMYFUNCTION("""COMPUTED_VALUE"""),31.2)</f>
        <v>31.2</v>
      </c>
      <c r="D1694" s="1">
        <f>IFERROR(__xludf.DUMMYFUNCTION("""COMPUTED_VALUE"""),30.87)</f>
        <v>30.87</v>
      </c>
      <c r="E1694" s="1">
        <f>IFERROR(__xludf.DUMMYFUNCTION("""COMPUTED_VALUE"""),31.17)</f>
        <v>31.17</v>
      </c>
      <c r="F1694" s="1">
        <f>IFERROR(__xludf.DUMMYFUNCTION("""COMPUTED_VALUE"""),261085.0)</f>
        <v>261085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IFERROR(__xludf.DUMMYFUNCTION("""COMPUTED_VALUE"""),31.2)</f>
        <v>31.2</v>
      </c>
      <c r="C1695" s="1">
        <f>IFERROR(__xludf.DUMMYFUNCTION("""COMPUTED_VALUE"""),31.3)</f>
        <v>31.3</v>
      </c>
      <c r="D1695" s="1">
        <f>IFERROR(__xludf.DUMMYFUNCTION("""COMPUTED_VALUE"""),31.0)</f>
        <v>31</v>
      </c>
      <c r="E1695" s="1">
        <f>IFERROR(__xludf.DUMMYFUNCTION("""COMPUTED_VALUE"""),31.08)</f>
        <v>31.08</v>
      </c>
      <c r="F1695" s="1">
        <f>IFERROR(__xludf.DUMMYFUNCTION("""COMPUTED_VALUE"""),286046.0)</f>
        <v>286046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IFERROR(__xludf.DUMMYFUNCTION("""COMPUTED_VALUE"""),30.76)</f>
        <v>30.76</v>
      </c>
      <c r="C1696" s="1">
        <f>IFERROR(__xludf.DUMMYFUNCTION("""COMPUTED_VALUE"""),30.89)</f>
        <v>30.89</v>
      </c>
      <c r="D1696" s="1">
        <f>IFERROR(__xludf.DUMMYFUNCTION("""COMPUTED_VALUE"""),30.29)</f>
        <v>30.29</v>
      </c>
      <c r="E1696" s="1">
        <f>IFERROR(__xludf.DUMMYFUNCTION("""COMPUTED_VALUE"""),30.3)</f>
        <v>30.3</v>
      </c>
      <c r="F1696" s="1">
        <f>IFERROR(__xludf.DUMMYFUNCTION("""COMPUTED_VALUE"""),347218.0)</f>
        <v>347218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IFERROR(__xludf.DUMMYFUNCTION("""COMPUTED_VALUE"""),30.2)</f>
        <v>30.2</v>
      </c>
      <c r="C1697" s="1">
        <f>IFERROR(__xludf.DUMMYFUNCTION("""COMPUTED_VALUE"""),30.5)</f>
        <v>30.5</v>
      </c>
      <c r="D1697" s="1">
        <f>IFERROR(__xludf.DUMMYFUNCTION("""COMPUTED_VALUE"""),30.09)</f>
        <v>30.09</v>
      </c>
      <c r="E1697" s="1">
        <f>IFERROR(__xludf.DUMMYFUNCTION("""COMPUTED_VALUE"""),30.47)</f>
        <v>30.47</v>
      </c>
      <c r="F1697" s="1">
        <f>IFERROR(__xludf.DUMMYFUNCTION("""COMPUTED_VALUE"""),167857.0)</f>
        <v>167857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IFERROR(__xludf.DUMMYFUNCTION("""COMPUTED_VALUE"""),30.64)</f>
        <v>30.64</v>
      </c>
      <c r="C1698" s="1">
        <f>IFERROR(__xludf.DUMMYFUNCTION("""COMPUTED_VALUE"""),30.91)</f>
        <v>30.91</v>
      </c>
      <c r="D1698" s="1">
        <f>IFERROR(__xludf.DUMMYFUNCTION("""COMPUTED_VALUE"""),30.35)</f>
        <v>30.35</v>
      </c>
      <c r="E1698" s="1">
        <f>IFERROR(__xludf.DUMMYFUNCTION("""COMPUTED_VALUE"""),30.9)</f>
        <v>30.9</v>
      </c>
      <c r="F1698" s="1">
        <f>IFERROR(__xludf.DUMMYFUNCTION("""COMPUTED_VALUE"""),219842.0)</f>
        <v>219842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IFERROR(__xludf.DUMMYFUNCTION("""COMPUTED_VALUE"""),30.99)</f>
        <v>30.99</v>
      </c>
      <c r="C1699" s="1">
        <f>IFERROR(__xludf.DUMMYFUNCTION("""COMPUTED_VALUE"""),31.1)</f>
        <v>31.1</v>
      </c>
      <c r="D1699" s="1">
        <f>IFERROR(__xludf.DUMMYFUNCTION("""COMPUTED_VALUE"""),30.35)</f>
        <v>30.35</v>
      </c>
      <c r="E1699" s="1">
        <f>IFERROR(__xludf.DUMMYFUNCTION("""COMPUTED_VALUE"""),30.37)</f>
        <v>30.37</v>
      </c>
      <c r="F1699" s="1">
        <f>IFERROR(__xludf.DUMMYFUNCTION("""COMPUTED_VALUE"""),184982.0)</f>
        <v>184982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IFERROR(__xludf.DUMMYFUNCTION("""COMPUTED_VALUE"""),30.51)</f>
        <v>30.51</v>
      </c>
      <c r="C1700" s="1">
        <f>IFERROR(__xludf.DUMMYFUNCTION("""COMPUTED_VALUE"""),31.0)</f>
        <v>31</v>
      </c>
      <c r="D1700" s="1">
        <f>IFERROR(__xludf.DUMMYFUNCTION("""COMPUTED_VALUE"""),30.39)</f>
        <v>30.39</v>
      </c>
      <c r="E1700" s="1">
        <f>IFERROR(__xludf.DUMMYFUNCTION("""COMPUTED_VALUE"""),30.78)</f>
        <v>30.78</v>
      </c>
      <c r="F1700" s="1">
        <f>IFERROR(__xludf.DUMMYFUNCTION("""COMPUTED_VALUE"""),409378.0)</f>
        <v>409378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IFERROR(__xludf.DUMMYFUNCTION("""COMPUTED_VALUE"""),30.47)</f>
        <v>30.47</v>
      </c>
      <c r="C1701" s="1">
        <f>IFERROR(__xludf.DUMMYFUNCTION("""COMPUTED_VALUE"""),30.75)</f>
        <v>30.75</v>
      </c>
      <c r="D1701" s="1">
        <f>IFERROR(__xludf.DUMMYFUNCTION("""COMPUTED_VALUE"""),30.31)</f>
        <v>30.31</v>
      </c>
      <c r="E1701" s="1">
        <f>IFERROR(__xludf.DUMMYFUNCTION("""COMPUTED_VALUE"""),30.39)</f>
        <v>30.39</v>
      </c>
      <c r="F1701" s="1">
        <f>IFERROR(__xludf.DUMMYFUNCTION("""COMPUTED_VALUE"""),308521.0)</f>
        <v>308521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IFERROR(__xludf.DUMMYFUNCTION("""COMPUTED_VALUE"""),30.53)</f>
        <v>30.53</v>
      </c>
      <c r="C1702" s="1">
        <f>IFERROR(__xludf.DUMMYFUNCTION("""COMPUTED_VALUE"""),30.89)</f>
        <v>30.89</v>
      </c>
      <c r="D1702" s="1">
        <f>IFERROR(__xludf.DUMMYFUNCTION("""COMPUTED_VALUE"""),30.41)</f>
        <v>30.41</v>
      </c>
      <c r="E1702" s="1">
        <f>IFERROR(__xludf.DUMMYFUNCTION("""COMPUTED_VALUE"""),30.61)</f>
        <v>30.61</v>
      </c>
      <c r="F1702" s="1">
        <f>IFERROR(__xludf.DUMMYFUNCTION("""COMPUTED_VALUE"""),201931.0)</f>
        <v>201931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IFERROR(__xludf.DUMMYFUNCTION("""COMPUTED_VALUE"""),30.81)</f>
        <v>30.81</v>
      </c>
      <c r="C1703" s="1">
        <f>IFERROR(__xludf.DUMMYFUNCTION("""COMPUTED_VALUE"""),31.46)</f>
        <v>31.46</v>
      </c>
      <c r="D1703" s="1">
        <f>IFERROR(__xludf.DUMMYFUNCTION("""COMPUTED_VALUE"""),30.77)</f>
        <v>30.77</v>
      </c>
      <c r="E1703" s="1">
        <f>IFERROR(__xludf.DUMMYFUNCTION("""COMPUTED_VALUE"""),31.17)</f>
        <v>31.17</v>
      </c>
      <c r="F1703" s="1">
        <f>IFERROR(__xludf.DUMMYFUNCTION("""COMPUTED_VALUE"""),432940.0)</f>
        <v>432940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IFERROR(__xludf.DUMMYFUNCTION("""COMPUTED_VALUE"""),31.23)</f>
        <v>31.23</v>
      </c>
      <c r="C1704" s="1">
        <f>IFERROR(__xludf.DUMMYFUNCTION("""COMPUTED_VALUE"""),31.28)</f>
        <v>31.28</v>
      </c>
      <c r="D1704" s="1">
        <f>IFERROR(__xludf.DUMMYFUNCTION("""COMPUTED_VALUE"""),31.03)</f>
        <v>31.03</v>
      </c>
      <c r="E1704" s="1">
        <f>IFERROR(__xludf.DUMMYFUNCTION("""COMPUTED_VALUE"""),31.13)</f>
        <v>31.13</v>
      </c>
      <c r="F1704" s="1">
        <f>IFERROR(__xludf.DUMMYFUNCTION("""COMPUTED_VALUE"""),267123.0)</f>
        <v>267123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IFERROR(__xludf.DUMMYFUNCTION("""COMPUTED_VALUE"""),31.04)</f>
        <v>31.04</v>
      </c>
      <c r="C1705" s="1">
        <f>IFERROR(__xludf.DUMMYFUNCTION("""COMPUTED_VALUE"""),31.23)</f>
        <v>31.23</v>
      </c>
      <c r="D1705" s="1">
        <f>IFERROR(__xludf.DUMMYFUNCTION("""COMPUTED_VALUE"""),30.76)</f>
        <v>30.76</v>
      </c>
      <c r="E1705" s="1">
        <f>IFERROR(__xludf.DUMMYFUNCTION("""COMPUTED_VALUE"""),31.16)</f>
        <v>31.16</v>
      </c>
      <c r="F1705" s="1">
        <f>IFERROR(__xludf.DUMMYFUNCTION("""COMPUTED_VALUE"""),368617.0)</f>
        <v>368617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IFERROR(__xludf.DUMMYFUNCTION("""COMPUTED_VALUE"""),31.36)</f>
        <v>31.36</v>
      </c>
      <c r="C1706" s="1">
        <f>IFERROR(__xludf.DUMMYFUNCTION("""COMPUTED_VALUE"""),31.68)</f>
        <v>31.68</v>
      </c>
      <c r="D1706" s="1">
        <f>IFERROR(__xludf.DUMMYFUNCTION("""COMPUTED_VALUE"""),31.36)</f>
        <v>31.36</v>
      </c>
      <c r="E1706" s="1">
        <f>IFERROR(__xludf.DUMMYFUNCTION("""COMPUTED_VALUE"""),31.48)</f>
        <v>31.48</v>
      </c>
      <c r="F1706" s="1">
        <f>IFERROR(__xludf.DUMMYFUNCTION("""COMPUTED_VALUE"""),203410.0)</f>
        <v>203410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IFERROR(__xludf.DUMMYFUNCTION("""COMPUTED_VALUE"""),31.44)</f>
        <v>31.44</v>
      </c>
      <c r="C1707" s="1">
        <f>IFERROR(__xludf.DUMMYFUNCTION("""COMPUTED_VALUE"""),31.61)</f>
        <v>31.61</v>
      </c>
      <c r="D1707" s="1">
        <f>IFERROR(__xludf.DUMMYFUNCTION("""COMPUTED_VALUE"""),30.91)</f>
        <v>30.91</v>
      </c>
      <c r="E1707" s="1">
        <f>IFERROR(__xludf.DUMMYFUNCTION("""COMPUTED_VALUE"""),31.14)</f>
        <v>31.14</v>
      </c>
      <c r="F1707" s="1">
        <f>IFERROR(__xludf.DUMMYFUNCTION("""COMPUTED_VALUE"""),340978.0)</f>
        <v>340978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IFERROR(__xludf.DUMMYFUNCTION("""COMPUTED_VALUE"""),31.15)</f>
        <v>31.15</v>
      </c>
      <c r="C1708" s="1">
        <f>IFERROR(__xludf.DUMMYFUNCTION("""COMPUTED_VALUE"""),31.38)</f>
        <v>31.38</v>
      </c>
      <c r="D1708" s="1">
        <f>IFERROR(__xludf.DUMMYFUNCTION("""COMPUTED_VALUE"""),31.02)</f>
        <v>31.02</v>
      </c>
      <c r="E1708" s="1">
        <f>IFERROR(__xludf.DUMMYFUNCTION("""COMPUTED_VALUE"""),31.09)</f>
        <v>31.09</v>
      </c>
      <c r="F1708" s="1">
        <f>IFERROR(__xludf.DUMMYFUNCTION("""COMPUTED_VALUE"""),193473.0)</f>
        <v>193473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IFERROR(__xludf.DUMMYFUNCTION("""COMPUTED_VALUE"""),30.8)</f>
        <v>30.8</v>
      </c>
      <c r="C1709" s="1">
        <f>IFERROR(__xludf.DUMMYFUNCTION("""COMPUTED_VALUE"""),30.8)</f>
        <v>30.8</v>
      </c>
      <c r="D1709" s="1">
        <f>IFERROR(__xludf.DUMMYFUNCTION("""COMPUTED_VALUE"""),29.94)</f>
        <v>29.94</v>
      </c>
      <c r="E1709" s="1">
        <f>IFERROR(__xludf.DUMMYFUNCTION("""COMPUTED_VALUE"""),30.18)</f>
        <v>30.18</v>
      </c>
      <c r="F1709" s="1">
        <f>IFERROR(__xludf.DUMMYFUNCTION("""COMPUTED_VALUE"""),442874.0)</f>
        <v>442874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IFERROR(__xludf.DUMMYFUNCTION("""COMPUTED_VALUE"""),30.53)</f>
        <v>30.53</v>
      </c>
      <c r="C1710" s="1">
        <f>IFERROR(__xludf.DUMMYFUNCTION("""COMPUTED_VALUE"""),30.67)</f>
        <v>30.67</v>
      </c>
      <c r="D1710" s="1">
        <f>IFERROR(__xludf.DUMMYFUNCTION("""COMPUTED_VALUE"""),30.28)</f>
        <v>30.28</v>
      </c>
      <c r="E1710" s="1">
        <f>IFERROR(__xludf.DUMMYFUNCTION("""COMPUTED_VALUE"""),30.5)</f>
        <v>30.5</v>
      </c>
      <c r="F1710" s="1">
        <f>IFERROR(__xludf.DUMMYFUNCTION("""COMPUTED_VALUE"""),320496.0)</f>
        <v>320496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IFERROR(__xludf.DUMMYFUNCTION("""COMPUTED_VALUE"""),30.44)</f>
        <v>30.44</v>
      </c>
      <c r="C1711" s="1">
        <f>IFERROR(__xludf.DUMMYFUNCTION("""COMPUTED_VALUE"""),30.65)</f>
        <v>30.65</v>
      </c>
      <c r="D1711" s="1">
        <f>IFERROR(__xludf.DUMMYFUNCTION("""COMPUTED_VALUE"""),30.29)</f>
        <v>30.29</v>
      </c>
      <c r="E1711" s="1">
        <f>IFERROR(__xludf.DUMMYFUNCTION("""COMPUTED_VALUE"""),30.37)</f>
        <v>30.37</v>
      </c>
      <c r="F1711" s="1">
        <f>IFERROR(__xludf.DUMMYFUNCTION("""COMPUTED_VALUE"""),263753.0)</f>
        <v>263753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IFERROR(__xludf.DUMMYFUNCTION("""COMPUTED_VALUE"""),30.72)</f>
        <v>30.72</v>
      </c>
      <c r="C1712" s="1">
        <f>IFERROR(__xludf.DUMMYFUNCTION("""COMPUTED_VALUE"""),30.72)</f>
        <v>30.72</v>
      </c>
      <c r="D1712" s="1">
        <f>IFERROR(__xludf.DUMMYFUNCTION("""COMPUTED_VALUE"""),30.29)</f>
        <v>30.29</v>
      </c>
      <c r="E1712" s="1">
        <f>IFERROR(__xludf.DUMMYFUNCTION("""COMPUTED_VALUE"""),30.48)</f>
        <v>30.48</v>
      </c>
      <c r="F1712" s="1">
        <f>IFERROR(__xludf.DUMMYFUNCTION("""COMPUTED_VALUE"""),270026.0)</f>
        <v>270026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IFERROR(__xludf.DUMMYFUNCTION("""COMPUTED_VALUE"""),30.66)</f>
        <v>30.66</v>
      </c>
      <c r="C1713" s="1">
        <f>IFERROR(__xludf.DUMMYFUNCTION("""COMPUTED_VALUE"""),30.89)</f>
        <v>30.89</v>
      </c>
      <c r="D1713" s="1">
        <f>IFERROR(__xludf.DUMMYFUNCTION("""COMPUTED_VALUE"""),30.52)</f>
        <v>30.52</v>
      </c>
      <c r="E1713" s="1">
        <f>IFERROR(__xludf.DUMMYFUNCTION("""COMPUTED_VALUE"""),30.84)</f>
        <v>30.84</v>
      </c>
      <c r="F1713" s="1">
        <f>IFERROR(__xludf.DUMMYFUNCTION("""COMPUTED_VALUE"""),343136.0)</f>
        <v>343136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IFERROR(__xludf.DUMMYFUNCTION("""COMPUTED_VALUE"""),30.56)</f>
        <v>30.56</v>
      </c>
      <c r="C1714" s="1">
        <f>IFERROR(__xludf.DUMMYFUNCTION("""COMPUTED_VALUE"""),30.91)</f>
        <v>30.91</v>
      </c>
      <c r="D1714" s="1">
        <f>IFERROR(__xludf.DUMMYFUNCTION("""COMPUTED_VALUE"""),30.25)</f>
        <v>30.25</v>
      </c>
      <c r="E1714" s="1">
        <f>IFERROR(__xludf.DUMMYFUNCTION("""COMPUTED_VALUE"""),30.27)</f>
        <v>30.27</v>
      </c>
      <c r="F1714" s="1">
        <f>IFERROR(__xludf.DUMMYFUNCTION("""COMPUTED_VALUE"""),413218.0)</f>
        <v>413218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IFERROR(__xludf.DUMMYFUNCTION("""COMPUTED_VALUE"""),30.02)</f>
        <v>30.02</v>
      </c>
      <c r="C1715" s="1">
        <f>IFERROR(__xludf.DUMMYFUNCTION("""COMPUTED_VALUE"""),30.18)</f>
        <v>30.18</v>
      </c>
      <c r="D1715" s="1">
        <f>IFERROR(__xludf.DUMMYFUNCTION("""COMPUTED_VALUE"""),29.91)</f>
        <v>29.91</v>
      </c>
      <c r="E1715" s="1">
        <f>IFERROR(__xludf.DUMMYFUNCTION("""COMPUTED_VALUE"""),30.05)</f>
        <v>30.05</v>
      </c>
      <c r="F1715" s="1">
        <f>IFERROR(__xludf.DUMMYFUNCTION("""COMPUTED_VALUE"""),253975.0)</f>
        <v>253975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IFERROR(__xludf.DUMMYFUNCTION("""COMPUTED_VALUE"""),30.32)</f>
        <v>30.32</v>
      </c>
      <c r="C1716" s="1">
        <f>IFERROR(__xludf.DUMMYFUNCTION("""COMPUTED_VALUE"""),30.69)</f>
        <v>30.69</v>
      </c>
      <c r="D1716" s="1">
        <f>IFERROR(__xludf.DUMMYFUNCTION("""COMPUTED_VALUE"""),30.22)</f>
        <v>30.22</v>
      </c>
      <c r="E1716" s="1">
        <f>IFERROR(__xludf.DUMMYFUNCTION("""COMPUTED_VALUE"""),30.37)</f>
        <v>30.37</v>
      </c>
      <c r="F1716" s="1">
        <f>IFERROR(__xludf.DUMMYFUNCTION("""COMPUTED_VALUE"""),168243.0)</f>
        <v>168243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IFERROR(__xludf.DUMMYFUNCTION("""COMPUTED_VALUE"""),30.28)</f>
        <v>30.28</v>
      </c>
      <c r="C1717" s="1">
        <f>IFERROR(__xludf.DUMMYFUNCTION("""COMPUTED_VALUE"""),30.41)</f>
        <v>30.41</v>
      </c>
      <c r="D1717" s="1">
        <f>IFERROR(__xludf.DUMMYFUNCTION("""COMPUTED_VALUE"""),30.04)</f>
        <v>30.04</v>
      </c>
      <c r="E1717" s="1">
        <f>IFERROR(__xludf.DUMMYFUNCTION("""COMPUTED_VALUE"""),30.21)</f>
        <v>30.21</v>
      </c>
      <c r="F1717" s="1">
        <f>IFERROR(__xludf.DUMMYFUNCTION("""COMPUTED_VALUE"""),229573.0)</f>
        <v>229573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IFERROR(__xludf.DUMMYFUNCTION("""COMPUTED_VALUE"""),29.98)</f>
        <v>29.98</v>
      </c>
      <c r="C1718" s="1">
        <f>IFERROR(__xludf.DUMMYFUNCTION("""COMPUTED_VALUE"""),30.42)</f>
        <v>30.42</v>
      </c>
      <c r="D1718" s="1">
        <f>IFERROR(__xludf.DUMMYFUNCTION("""COMPUTED_VALUE"""),29.96)</f>
        <v>29.96</v>
      </c>
      <c r="E1718" s="1">
        <f>IFERROR(__xludf.DUMMYFUNCTION("""COMPUTED_VALUE"""),30.02)</f>
        <v>30.02</v>
      </c>
      <c r="F1718" s="1">
        <f>IFERROR(__xludf.DUMMYFUNCTION("""COMPUTED_VALUE"""),209253.0)</f>
        <v>209253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IFERROR(__xludf.DUMMYFUNCTION("""COMPUTED_VALUE"""),30.29)</f>
        <v>30.29</v>
      </c>
      <c r="C1719" s="1">
        <f>IFERROR(__xludf.DUMMYFUNCTION("""COMPUTED_VALUE"""),30.39)</f>
        <v>30.39</v>
      </c>
      <c r="D1719" s="1">
        <f>IFERROR(__xludf.DUMMYFUNCTION("""COMPUTED_VALUE"""),30.07)</f>
        <v>30.07</v>
      </c>
      <c r="E1719" s="1">
        <f>IFERROR(__xludf.DUMMYFUNCTION("""COMPUTED_VALUE"""),30.23)</f>
        <v>30.23</v>
      </c>
      <c r="F1719" s="1">
        <f>IFERROR(__xludf.DUMMYFUNCTION("""COMPUTED_VALUE"""),277701.0)</f>
        <v>277701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IFERROR(__xludf.DUMMYFUNCTION("""COMPUTED_VALUE"""),30.3)</f>
        <v>30.3</v>
      </c>
      <c r="C1720" s="1">
        <f>IFERROR(__xludf.DUMMYFUNCTION("""COMPUTED_VALUE"""),30.3)</f>
        <v>30.3</v>
      </c>
      <c r="D1720" s="1">
        <f>IFERROR(__xludf.DUMMYFUNCTION("""COMPUTED_VALUE"""),29.77)</f>
        <v>29.77</v>
      </c>
      <c r="E1720" s="1">
        <f>IFERROR(__xludf.DUMMYFUNCTION("""COMPUTED_VALUE"""),29.88)</f>
        <v>29.88</v>
      </c>
      <c r="F1720" s="1">
        <f>IFERROR(__xludf.DUMMYFUNCTION("""COMPUTED_VALUE"""),196317.0)</f>
        <v>196317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IFERROR(__xludf.DUMMYFUNCTION("""COMPUTED_VALUE"""),29.93)</f>
        <v>29.93</v>
      </c>
      <c r="C1721" s="1">
        <f>IFERROR(__xludf.DUMMYFUNCTION("""COMPUTED_VALUE"""),30.11)</f>
        <v>30.11</v>
      </c>
      <c r="D1721" s="1">
        <f>IFERROR(__xludf.DUMMYFUNCTION("""COMPUTED_VALUE"""),29.81)</f>
        <v>29.81</v>
      </c>
      <c r="E1721" s="1">
        <f>IFERROR(__xludf.DUMMYFUNCTION("""COMPUTED_VALUE"""),29.95)</f>
        <v>29.95</v>
      </c>
      <c r="F1721" s="1">
        <f>IFERROR(__xludf.DUMMYFUNCTION("""COMPUTED_VALUE"""),412465.0)</f>
        <v>412465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IFERROR(__xludf.DUMMYFUNCTION("""COMPUTED_VALUE"""),30.11)</f>
        <v>30.11</v>
      </c>
      <c r="C1722" s="1">
        <f>IFERROR(__xludf.DUMMYFUNCTION("""COMPUTED_VALUE"""),30.11)</f>
        <v>30.11</v>
      </c>
      <c r="D1722" s="1">
        <f>IFERROR(__xludf.DUMMYFUNCTION("""COMPUTED_VALUE"""),29.35)</f>
        <v>29.35</v>
      </c>
      <c r="E1722" s="1">
        <f>IFERROR(__xludf.DUMMYFUNCTION("""COMPUTED_VALUE"""),29.54)</f>
        <v>29.54</v>
      </c>
      <c r="F1722" s="1">
        <f>IFERROR(__xludf.DUMMYFUNCTION("""COMPUTED_VALUE"""),233989.0)</f>
        <v>233989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IFERROR(__xludf.DUMMYFUNCTION("""COMPUTED_VALUE"""),29.43)</f>
        <v>29.43</v>
      </c>
      <c r="C1723" s="1">
        <f>IFERROR(__xludf.DUMMYFUNCTION("""COMPUTED_VALUE"""),29.43)</f>
        <v>29.43</v>
      </c>
      <c r="D1723" s="1">
        <f>IFERROR(__xludf.DUMMYFUNCTION("""COMPUTED_VALUE"""),28.84)</f>
        <v>28.84</v>
      </c>
      <c r="E1723" s="1">
        <f>IFERROR(__xludf.DUMMYFUNCTION("""COMPUTED_VALUE"""),28.89)</f>
        <v>28.89</v>
      </c>
      <c r="F1723" s="1">
        <f>IFERROR(__xludf.DUMMYFUNCTION("""COMPUTED_VALUE"""),294647.0)</f>
        <v>294647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IFERROR(__xludf.DUMMYFUNCTION("""COMPUTED_VALUE"""),29.07)</f>
        <v>29.07</v>
      </c>
      <c r="C1724" s="1">
        <f>IFERROR(__xludf.DUMMYFUNCTION("""COMPUTED_VALUE"""),29.25)</f>
        <v>29.25</v>
      </c>
      <c r="D1724" s="1">
        <f>IFERROR(__xludf.DUMMYFUNCTION("""COMPUTED_VALUE"""),28.89)</f>
        <v>28.89</v>
      </c>
      <c r="E1724" s="1">
        <f>IFERROR(__xludf.DUMMYFUNCTION("""COMPUTED_VALUE"""),29.12)</f>
        <v>29.12</v>
      </c>
      <c r="F1724" s="1">
        <f>IFERROR(__xludf.DUMMYFUNCTION("""COMPUTED_VALUE"""),284770.0)</f>
        <v>284770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IFERROR(__xludf.DUMMYFUNCTION("""COMPUTED_VALUE"""),29.22)</f>
        <v>29.22</v>
      </c>
      <c r="C1725" s="1">
        <f>IFERROR(__xludf.DUMMYFUNCTION("""COMPUTED_VALUE"""),29.5)</f>
        <v>29.5</v>
      </c>
      <c r="D1725" s="1">
        <f>IFERROR(__xludf.DUMMYFUNCTION("""COMPUTED_VALUE"""),28.87)</f>
        <v>28.87</v>
      </c>
      <c r="E1725" s="1">
        <f>IFERROR(__xludf.DUMMYFUNCTION("""COMPUTED_VALUE"""),29.0)</f>
        <v>29</v>
      </c>
      <c r="F1725" s="1">
        <f>IFERROR(__xludf.DUMMYFUNCTION("""COMPUTED_VALUE"""),234091.0)</f>
        <v>234091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IFERROR(__xludf.DUMMYFUNCTION("""COMPUTED_VALUE"""),29.67)</f>
        <v>29.67</v>
      </c>
      <c r="C1726" s="1">
        <f>IFERROR(__xludf.DUMMYFUNCTION("""COMPUTED_VALUE"""),29.85)</f>
        <v>29.85</v>
      </c>
      <c r="D1726" s="1">
        <f>IFERROR(__xludf.DUMMYFUNCTION("""COMPUTED_VALUE"""),29.5)</f>
        <v>29.5</v>
      </c>
      <c r="E1726" s="1">
        <f>IFERROR(__xludf.DUMMYFUNCTION("""COMPUTED_VALUE"""),29.76)</f>
        <v>29.76</v>
      </c>
      <c r="F1726" s="1">
        <f>IFERROR(__xludf.DUMMYFUNCTION("""COMPUTED_VALUE"""),404309.0)</f>
        <v>404309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IFERROR(__xludf.DUMMYFUNCTION("""COMPUTED_VALUE"""),29.67)</f>
        <v>29.67</v>
      </c>
      <c r="C1727" s="1">
        <f>IFERROR(__xludf.DUMMYFUNCTION("""COMPUTED_VALUE"""),30.26)</f>
        <v>30.26</v>
      </c>
      <c r="D1727" s="1">
        <f>IFERROR(__xludf.DUMMYFUNCTION("""COMPUTED_VALUE"""),29.41)</f>
        <v>29.41</v>
      </c>
      <c r="E1727" s="1">
        <f>IFERROR(__xludf.DUMMYFUNCTION("""COMPUTED_VALUE"""),30.03)</f>
        <v>30.03</v>
      </c>
      <c r="F1727" s="1">
        <f>IFERROR(__xludf.DUMMYFUNCTION("""COMPUTED_VALUE"""),315335.0)</f>
        <v>315335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IFERROR(__xludf.DUMMYFUNCTION("""COMPUTED_VALUE"""),30.15)</f>
        <v>30.15</v>
      </c>
      <c r="C1728" s="1">
        <f>IFERROR(__xludf.DUMMYFUNCTION("""COMPUTED_VALUE"""),31.99)</f>
        <v>31.99</v>
      </c>
      <c r="D1728" s="1">
        <f>IFERROR(__xludf.DUMMYFUNCTION("""COMPUTED_VALUE"""),29.93)</f>
        <v>29.93</v>
      </c>
      <c r="E1728" s="1">
        <f>IFERROR(__xludf.DUMMYFUNCTION("""COMPUTED_VALUE"""),31.79)</f>
        <v>31.79</v>
      </c>
      <c r="F1728" s="1">
        <f>IFERROR(__xludf.DUMMYFUNCTION("""COMPUTED_VALUE"""),772500.0)</f>
        <v>772500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IFERROR(__xludf.DUMMYFUNCTION("""COMPUTED_VALUE"""),32.1)</f>
        <v>32.1</v>
      </c>
      <c r="C1729" s="1">
        <f>IFERROR(__xludf.DUMMYFUNCTION("""COMPUTED_VALUE"""),33.48)</f>
        <v>33.48</v>
      </c>
      <c r="D1729" s="1">
        <f>IFERROR(__xludf.DUMMYFUNCTION("""COMPUTED_VALUE"""),32.0)</f>
        <v>32</v>
      </c>
      <c r="E1729" s="1">
        <f>IFERROR(__xludf.DUMMYFUNCTION("""COMPUTED_VALUE"""),33.07)</f>
        <v>33.07</v>
      </c>
      <c r="F1729" s="1">
        <f>IFERROR(__xludf.DUMMYFUNCTION("""COMPUTED_VALUE"""),802760.0)</f>
        <v>802760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IFERROR(__xludf.DUMMYFUNCTION("""COMPUTED_VALUE"""),33.01)</f>
        <v>33.01</v>
      </c>
      <c r="C1730" s="1">
        <f>IFERROR(__xludf.DUMMYFUNCTION("""COMPUTED_VALUE"""),34.49)</f>
        <v>34.49</v>
      </c>
      <c r="D1730" s="1">
        <f>IFERROR(__xludf.DUMMYFUNCTION("""COMPUTED_VALUE"""),32.9)</f>
        <v>32.9</v>
      </c>
      <c r="E1730" s="1">
        <f>IFERROR(__xludf.DUMMYFUNCTION("""COMPUTED_VALUE"""),34.49)</f>
        <v>34.49</v>
      </c>
      <c r="F1730" s="1">
        <f>IFERROR(__xludf.DUMMYFUNCTION("""COMPUTED_VALUE"""),764747.0)</f>
        <v>764747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IFERROR(__xludf.DUMMYFUNCTION("""COMPUTED_VALUE"""),34.9)</f>
        <v>34.9</v>
      </c>
      <c r="C1731" s="1">
        <f>IFERROR(__xludf.DUMMYFUNCTION("""COMPUTED_VALUE"""),36.19)</f>
        <v>36.19</v>
      </c>
      <c r="D1731" s="1">
        <f>IFERROR(__xludf.DUMMYFUNCTION("""COMPUTED_VALUE"""),34.86)</f>
        <v>34.86</v>
      </c>
      <c r="E1731" s="1">
        <f>IFERROR(__xludf.DUMMYFUNCTION("""COMPUTED_VALUE"""),35.33)</f>
        <v>35.33</v>
      </c>
      <c r="F1731" s="1">
        <f>IFERROR(__xludf.DUMMYFUNCTION("""COMPUTED_VALUE"""),569643.0)</f>
        <v>569643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IFERROR(__xludf.DUMMYFUNCTION("""COMPUTED_VALUE"""),35.22)</f>
        <v>35.22</v>
      </c>
      <c r="C1732" s="1">
        <f>IFERROR(__xludf.DUMMYFUNCTION("""COMPUTED_VALUE"""),35.45)</f>
        <v>35.45</v>
      </c>
      <c r="D1732" s="1">
        <f>IFERROR(__xludf.DUMMYFUNCTION("""COMPUTED_VALUE"""),34.64)</f>
        <v>34.64</v>
      </c>
      <c r="E1732" s="1">
        <f>IFERROR(__xludf.DUMMYFUNCTION("""COMPUTED_VALUE"""),35.26)</f>
        <v>35.26</v>
      </c>
      <c r="F1732" s="1">
        <f>IFERROR(__xludf.DUMMYFUNCTION("""COMPUTED_VALUE"""),486262.0)</f>
        <v>486262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IFERROR(__xludf.DUMMYFUNCTION("""COMPUTED_VALUE"""),34.98)</f>
        <v>34.98</v>
      </c>
      <c r="C1733" s="1">
        <f>IFERROR(__xludf.DUMMYFUNCTION("""COMPUTED_VALUE"""),35.24)</f>
        <v>35.24</v>
      </c>
      <c r="D1733" s="1">
        <f>IFERROR(__xludf.DUMMYFUNCTION("""COMPUTED_VALUE"""),34.78)</f>
        <v>34.78</v>
      </c>
      <c r="E1733" s="1">
        <f>IFERROR(__xludf.DUMMYFUNCTION("""COMPUTED_VALUE"""),34.9)</f>
        <v>34.9</v>
      </c>
      <c r="F1733" s="1">
        <f>IFERROR(__xludf.DUMMYFUNCTION("""COMPUTED_VALUE"""),421550.0)</f>
        <v>421550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IFERROR(__xludf.DUMMYFUNCTION("""COMPUTED_VALUE"""),34.97)</f>
        <v>34.97</v>
      </c>
      <c r="C1734" s="1">
        <f>IFERROR(__xludf.DUMMYFUNCTION("""COMPUTED_VALUE"""),35.44)</f>
        <v>35.44</v>
      </c>
      <c r="D1734" s="1">
        <f>IFERROR(__xludf.DUMMYFUNCTION("""COMPUTED_VALUE"""),34.85)</f>
        <v>34.85</v>
      </c>
      <c r="E1734" s="1">
        <f>IFERROR(__xludf.DUMMYFUNCTION("""COMPUTED_VALUE"""),35.13)</f>
        <v>35.13</v>
      </c>
      <c r="F1734" s="1">
        <f>IFERROR(__xludf.DUMMYFUNCTION("""COMPUTED_VALUE"""),324033.0)</f>
        <v>324033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IFERROR(__xludf.DUMMYFUNCTION("""COMPUTED_VALUE"""),35.3)</f>
        <v>35.3</v>
      </c>
      <c r="C1735" s="1">
        <f>IFERROR(__xludf.DUMMYFUNCTION("""COMPUTED_VALUE"""),35.9)</f>
        <v>35.9</v>
      </c>
      <c r="D1735" s="1">
        <f>IFERROR(__xludf.DUMMYFUNCTION("""COMPUTED_VALUE"""),35.18)</f>
        <v>35.18</v>
      </c>
      <c r="E1735" s="1">
        <f>IFERROR(__xludf.DUMMYFUNCTION("""COMPUTED_VALUE"""),35.61)</f>
        <v>35.61</v>
      </c>
      <c r="F1735" s="1">
        <f>IFERROR(__xludf.DUMMYFUNCTION("""COMPUTED_VALUE"""),386149.0)</f>
        <v>386149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IFERROR(__xludf.DUMMYFUNCTION("""COMPUTED_VALUE"""),35.85)</f>
        <v>35.85</v>
      </c>
      <c r="C1736" s="1">
        <f>IFERROR(__xludf.DUMMYFUNCTION("""COMPUTED_VALUE"""),35.88)</f>
        <v>35.88</v>
      </c>
      <c r="D1736" s="1">
        <f>IFERROR(__xludf.DUMMYFUNCTION("""COMPUTED_VALUE"""),35.38)</f>
        <v>35.38</v>
      </c>
      <c r="E1736" s="1">
        <f>IFERROR(__xludf.DUMMYFUNCTION("""COMPUTED_VALUE"""),35.68)</f>
        <v>35.68</v>
      </c>
      <c r="F1736" s="1">
        <f>IFERROR(__xludf.DUMMYFUNCTION("""COMPUTED_VALUE"""),387841.0)</f>
        <v>387841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IFERROR(__xludf.DUMMYFUNCTION("""COMPUTED_VALUE"""),35.88)</f>
        <v>35.88</v>
      </c>
      <c r="C1737" s="1">
        <f>IFERROR(__xludf.DUMMYFUNCTION("""COMPUTED_VALUE"""),35.99)</f>
        <v>35.99</v>
      </c>
      <c r="D1737" s="1">
        <f>IFERROR(__xludf.DUMMYFUNCTION("""COMPUTED_VALUE"""),35.52)</f>
        <v>35.52</v>
      </c>
      <c r="E1737" s="1">
        <f>IFERROR(__xludf.DUMMYFUNCTION("""COMPUTED_VALUE"""),35.79)</f>
        <v>35.79</v>
      </c>
      <c r="F1737" s="1">
        <f>IFERROR(__xludf.DUMMYFUNCTION("""COMPUTED_VALUE"""),535983.0)</f>
        <v>535983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IFERROR(__xludf.DUMMYFUNCTION("""COMPUTED_VALUE"""),35.91)</f>
        <v>35.91</v>
      </c>
      <c r="C1738" s="1">
        <f>IFERROR(__xludf.DUMMYFUNCTION("""COMPUTED_VALUE"""),36.09)</f>
        <v>36.09</v>
      </c>
      <c r="D1738" s="1">
        <f>IFERROR(__xludf.DUMMYFUNCTION("""COMPUTED_VALUE"""),35.67)</f>
        <v>35.67</v>
      </c>
      <c r="E1738" s="1">
        <f>IFERROR(__xludf.DUMMYFUNCTION("""COMPUTED_VALUE"""),36.03)</f>
        <v>36.03</v>
      </c>
      <c r="F1738" s="1">
        <f>IFERROR(__xludf.DUMMYFUNCTION("""COMPUTED_VALUE"""),486056.0)</f>
        <v>486056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IFERROR(__xludf.DUMMYFUNCTION("""COMPUTED_VALUE"""),36.0)</f>
        <v>36</v>
      </c>
      <c r="C1739" s="1">
        <f>IFERROR(__xludf.DUMMYFUNCTION("""COMPUTED_VALUE"""),36.35)</f>
        <v>36.35</v>
      </c>
      <c r="D1739" s="1">
        <f>IFERROR(__xludf.DUMMYFUNCTION("""COMPUTED_VALUE"""),35.92)</f>
        <v>35.92</v>
      </c>
      <c r="E1739" s="1">
        <f>IFERROR(__xludf.DUMMYFUNCTION("""COMPUTED_VALUE"""),36.34)</f>
        <v>36.34</v>
      </c>
      <c r="F1739" s="1">
        <f>IFERROR(__xludf.DUMMYFUNCTION("""COMPUTED_VALUE"""),228415.0)</f>
        <v>228415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IFERROR(__xludf.DUMMYFUNCTION("""COMPUTED_VALUE"""),36.05)</f>
        <v>36.05</v>
      </c>
      <c r="C1740" s="1">
        <f>IFERROR(__xludf.DUMMYFUNCTION("""COMPUTED_VALUE"""),36.22)</f>
        <v>36.22</v>
      </c>
      <c r="D1740" s="1">
        <f>IFERROR(__xludf.DUMMYFUNCTION("""COMPUTED_VALUE"""),35.4)</f>
        <v>35.4</v>
      </c>
      <c r="E1740" s="1">
        <f>IFERROR(__xludf.DUMMYFUNCTION("""COMPUTED_VALUE"""),35.57)</f>
        <v>35.57</v>
      </c>
      <c r="F1740" s="1">
        <f>IFERROR(__xludf.DUMMYFUNCTION("""COMPUTED_VALUE"""),528225.0)</f>
        <v>528225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IFERROR(__xludf.DUMMYFUNCTION("""COMPUTED_VALUE"""),35.54)</f>
        <v>35.54</v>
      </c>
      <c r="C1741" s="1">
        <f>IFERROR(__xludf.DUMMYFUNCTION("""COMPUTED_VALUE"""),35.75)</f>
        <v>35.75</v>
      </c>
      <c r="D1741" s="1">
        <f>IFERROR(__xludf.DUMMYFUNCTION("""COMPUTED_VALUE"""),35.01)</f>
        <v>35.01</v>
      </c>
      <c r="E1741" s="1">
        <f>IFERROR(__xludf.DUMMYFUNCTION("""COMPUTED_VALUE"""),35.23)</f>
        <v>35.23</v>
      </c>
      <c r="F1741" s="1">
        <f>IFERROR(__xludf.DUMMYFUNCTION("""COMPUTED_VALUE"""),462370.0)</f>
        <v>462370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IFERROR(__xludf.DUMMYFUNCTION("""COMPUTED_VALUE"""),35.61)</f>
        <v>35.61</v>
      </c>
      <c r="C1742" s="1">
        <f>IFERROR(__xludf.DUMMYFUNCTION("""COMPUTED_VALUE"""),35.7)</f>
        <v>35.7</v>
      </c>
      <c r="D1742" s="1">
        <f>IFERROR(__xludf.DUMMYFUNCTION("""COMPUTED_VALUE"""),35.04)</f>
        <v>35.04</v>
      </c>
      <c r="E1742" s="1">
        <f>IFERROR(__xludf.DUMMYFUNCTION("""COMPUTED_VALUE"""),35.1)</f>
        <v>35.1</v>
      </c>
      <c r="F1742" s="1">
        <f>IFERROR(__xludf.DUMMYFUNCTION("""COMPUTED_VALUE"""),473042.0)</f>
        <v>473042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IFERROR(__xludf.DUMMYFUNCTION("""COMPUTED_VALUE"""),35.42)</f>
        <v>35.42</v>
      </c>
      <c r="C1743" s="1">
        <f>IFERROR(__xludf.DUMMYFUNCTION("""COMPUTED_VALUE"""),35.7)</f>
        <v>35.7</v>
      </c>
      <c r="D1743" s="1">
        <f>IFERROR(__xludf.DUMMYFUNCTION("""COMPUTED_VALUE"""),35.17)</f>
        <v>35.17</v>
      </c>
      <c r="E1743" s="1">
        <f>IFERROR(__xludf.DUMMYFUNCTION("""COMPUTED_VALUE"""),35.68)</f>
        <v>35.68</v>
      </c>
      <c r="F1743" s="1">
        <f>IFERROR(__xludf.DUMMYFUNCTION("""COMPUTED_VALUE"""),438579.0)</f>
        <v>438579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IFERROR(__xludf.DUMMYFUNCTION("""COMPUTED_VALUE"""),35.49)</f>
        <v>35.49</v>
      </c>
      <c r="C1744" s="1">
        <f>IFERROR(__xludf.DUMMYFUNCTION("""COMPUTED_VALUE"""),35.64)</f>
        <v>35.64</v>
      </c>
      <c r="D1744" s="1">
        <f>IFERROR(__xludf.DUMMYFUNCTION("""COMPUTED_VALUE"""),35.26)</f>
        <v>35.26</v>
      </c>
      <c r="E1744" s="1">
        <f>IFERROR(__xludf.DUMMYFUNCTION("""COMPUTED_VALUE"""),35.46)</f>
        <v>35.46</v>
      </c>
      <c r="F1744" s="1">
        <f>IFERROR(__xludf.DUMMYFUNCTION("""COMPUTED_VALUE"""),215253.0)</f>
        <v>215253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IFERROR(__xludf.DUMMYFUNCTION("""COMPUTED_VALUE"""),35.88)</f>
        <v>35.88</v>
      </c>
      <c r="C1745" s="1">
        <f>IFERROR(__xludf.DUMMYFUNCTION("""COMPUTED_VALUE"""),36.28)</f>
        <v>36.28</v>
      </c>
      <c r="D1745" s="1">
        <f>IFERROR(__xludf.DUMMYFUNCTION("""COMPUTED_VALUE"""),35.78)</f>
        <v>35.78</v>
      </c>
      <c r="E1745" s="1">
        <f>IFERROR(__xludf.DUMMYFUNCTION("""COMPUTED_VALUE"""),36.2)</f>
        <v>36.2</v>
      </c>
      <c r="F1745" s="1">
        <f>IFERROR(__xludf.DUMMYFUNCTION("""COMPUTED_VALUE"""),422784.0)</f>
        <v>422784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IFERROR(__xludf.DUMMYFUNCTION("""COMPUTED_VALUE"""),36.35)</f>
        <v>36.35</v>
      </c>
      <c r="C1746" s="1">
        <f>IFERROR(__xludf.DUMMYFUNCTION("""COMPUTED_VALUE"""),37.0)</f>
        <v>37</v>
      </c>
      <c r="D1746" s="1">
        <f>IFERROR(__xludf.DUMMYFUNCTION("""COMPUTED_VALUE"""),36.11)</f>
        <v>36.11</v>
      </c>
      <c r="E1746" s="1">
        <f>IFERROR(__xludf.DUMMYFUNCTION("""COMPUTED_VALUE"""),36.94)</f>
        <v>36.94</v>
      </c>
      <c r="F1746" s="1">
        <f>IFERROR(__xludf.DUMMYFUNCTION("""COMPUTED_VALUE"""),320328.0)</f>
        <v>320328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IFERROR(__xludf.DUMMYFUNCTION("""COMPUTED_VALUE"""),36.86)</f>
        <v>36.86</v>
      </c>
      <c r="C1747" s="1">
        <f>IFERROR(__xludf.DUMMYFUNCTION("""COMPUTED_VALUE"""),37.75)</f>
        <v>37.75</v>
      </c>
      <c r="D1747" s="1">
        <f>IFERROR(__xludf.DUMMYFUNCTION("""COMPUTED_VALUE"""),36.7)</f>
        <v>36.7</v>
      </c>
      <c r="E1747" s="1">
        <f>IFERROR(__xludf.DUMMYFUNCTION("""COMPUTED_VALUE"""),37.73)</f>
        <v>37.73</v>
      </c>
      <c r="F1747" s="1">
        <f>IFERROR(__xludf.DUMMYFUNCTION("""COMPUTED_VALUE"""),397978.0)</f>
        <v>397978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IFERROR(__xludf.DUMMYFUNCTION("""COMPUTED_VALUE"""),37.85)</f>
        <v>37.85</v>
      </c>
      <c r="C1748" s="1">
        <f>IFERROR(__xludf.DUMMYFUNCTION("""COMPUTED_VALUE"""),38.42)</f>
        <v>38.42</v>
      </c>
      <c r="D1748" s="1">
        <f>IFERROR(__xludf.DUMMYFUNCTION("""COMPUTED_VALUE"""),37.8)</f>
        <v>37.8</v>
      </c>
      <c r="E1748" s="1">
        <f>IFERROR(__xludf.DUMMYFUNCTION("""COMPUTED_VALUE"""),38.09)</f>
        <v>38.09</v>
      </c>
      <c r="F1748" s="1">
        <f>IFERROR(__xludf.DUMMYFUNCTION("""COMPUTED_VALUE"""),572516.0)</f>
        <v>572516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IFERROR(__xludf.DUMMYFUNCTION("""COMPUTED_VALUE"""),38.14)</f>
        <v>38.14</v>
      </c>
      <c r="C1749" s="1">
        <f>IFERROR(__xludf.DUMMYFUNCTION("""COMPUTED_VALUE"""),38.3)</f>
        <v>38.3</v>
      </c>
      <c r="D1749" s="1">
        <f>IFERROR(__xludf.DUMMYFUNCTION("""COMPUTED_VALUE"""),37.54)</f>
        <v>37.54</v>
      </c>
      <c r="E1749" s="1">
        <f>IFERROR(__xludf.DUMMYFUNCTION("""COMPUTED_VALUE"""),38.08)</f>
        <v>38.08</v>
      </c>
      <c r="F1749" s="1">
        <f>IFERROR(__xludf.DUMMYFUNCTION("""COMPUTED_VALUE"""),426280.0)</f>
        <v>426280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IFERROR(__xludf.DUMMYFUNCTION("""COMPUTED_VALUE"""),37.99)</f>
        <v>37.99</v>
      </c>
      <c r="C1750" s="1">
        <f>IFERROR(__xludf.DUMMYFUNCTION("""COMPUTED_VALUE"""),38.24)</f>
        <v>38.24</v>
      </c>
      <c r="D1750" s="1">
        <f>IFERROR(__xludf.DUMMYFUNCTION("""COMPUTED_VALUE"""),37.08)</f>
        <v>37.08</v>
      </c>
      <c r="E1750" s="1">
        <f>IFERROR(__xludf.DUMMYFUNCTION("""COMPUTED_VALUE"""),37.29)</f>
        <v>37.29</v>
      </c>
      <c r="F1750" s="1">
        <f>IFERROR(__xludf.DUMMYFUNCTION("""COMPUTED_VALUE"""),367684.0)</f>
        <v>367684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IFERROR(__xludf.DUMMYFUNCTION("""COMPUTED_VALUE"""),37.34)</f>
        <v>37.34</v>
      </c>
      <c r="C1751" s="1">
        <f>IFERROR(__xludf.DUMMYFUNCTION("""COMPUTED_VALUE"""),37.81)</f>
        <v>37.81</v>
      </c>
      <c r="D1751" s="1">
        <f>IFERROR(__xludf.DUMMYFUNCTION("""COMPUTED_VALUE"""),36.76)</f>
        <v>36.76</v>
      </c>
      <c r="E1751" s="1">
        <f>IFERROR(__xludf.DUMMYFUNCTION("""COMPUTED_VALUE"""),37.28)</f>
        <v>37.28</v>
      </c>
      <c r="F1751" s="1">
        <f>IFERROR(__xludf.DUMMYFUNCTION("""COMPUTED_VALUE"""),342410.0)</f>
        <v>342410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IFERROR(__xludf.DUMMYFUNCTION("""COMPUTED_VALUE"""),36.98)</f>
        <v>36.98</v>
      </c>
      <c r="C1752" s="1">
        <f>IFERROR(__xludf.DUMMYFUNCTION("""COMPUTED_VALUE"""),37.61)</f>
        <v>37.61</v>
      </c>
      <c r="D1752" s="1">
        <f>IFERROR(__xludf.DUMMYFUNCTION("""COMPUTED_VALUE"""),36.72)</f>
        <v>36.72</v>
      </c>
      <c r="E1752" s="1">
        <f>IFERROR(__xludf.DUMMYFUNCTION("""COMPUTED_VALUE"""),36.96)</f>
        <v>36.96</v>
      </c>
      <c r="F1752" s="1">
        <f>IFERROR(__xludf.DUMMYFUNCTION("""COMPUTED_VALUE"""),259739.0)</f>
        <v>259739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IFERROR(__xludf.DUMMYFUNCTION("""COMPUTED_VALUE"""),37.25)</f>
        <v>37.25</v>
      </c>
      <c r="C1753" s="1">
        <f>IFERROR(__xludf.DUMMYFUNCTION("""COMPUTED_VALUE"""),37.86)</f>
        <v>37.86</v>
      </c>
      <c r="D1753" s="1">
        <f>IFERROR(__xludf.DUMMYFUNCTION("""COMPUTED_VALUE"""),37.05)</f>
        <v>37.05</v>
      </c>
      <c r="E1753" s="1">
        <f>IFERROR(__xludf.DUMMYFUNCTION("""COMPUTED_VALUE"""),37.6)</f>
        <v>37.6</v>
      </c>
      <c r="F1753" s="1">
        <f>IFERROR(__xludf.DUMMYFUNCTION("""COMPUTED_VALUE"""),372689.0)</f>
        <v>372689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IFERROR(__xludf.DUMMYFUNCTION("""COMPUTED_VALUE"""),37.6)</f>
        <v>37.6</v>
      </c>
      <c r="C1754" s="1">
        <f>IFERROR(__xludf.DUMMYFUNCTION("""COMPUTED_VALUE"""),38.04)</f>
        <v>38.04</v>
      </c>
      <c r="D1754" s="1">
        <f>IFERROR(__xludf.DUMMYFUNCTION("""COMPUTED_VALUE"""),37.23)</f>
        <v>37.23</v>
      </c>
      <c r="E1754" s="1">
        <f>IFERROR(__xludf.DUMMYFUNCTION("""COMPUTED_VALUE"""),37.32)</f>
        <v>37.32</v>
      </c>
      <c r="F1754" s="1">
        <f>IFERROR(__xludf.DUMMYFUNCTION("""COMPUTED_VALUE"""),1411948.0)</f>
        <v>1411948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IFERROR(__xludf.DUMMYFUNCTION("""COMPUTED_VALUE"""),37.28)</f>
        <v>37.28</v>
      </c>
      <c r="C1755" s="1">
        <f>IFERROR(__xludf.DUMMYFUNCTION("""COMPUTED_VALUE"""),37.63)</f>
        <v>37.63</v>
      </c>
      <c r="D1755" s="1">
        <f>IFERROR(__xludf.DUMMYFUNCTION("""COMPUTED_VALUE"""),36.97)</f>
        <v>36.97</v>
      </c>
      <c r="E1755" s="1">
        <f>IFERROR(__xludf.DUMMYFUNCTION("""COMPUTED_VALUE"""),37.62)</f>
        <v>37.62</v>
      </c>
      <c r="F1755" s="1">
        <f>IFERROR(__xludf.DUMMYFUNCTION("""COMPUTED_VALUE"""),318875.0)</f>
        <v>318875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IFERROR(__xludf.DUMMYFUNCTION("""COMPUTED_VALUE"""),38.01)</f>
        <v>38.01</v>
      </c>
      <c r="C1756" s="1">
        <f>IFERROR(__xludf.DUMMYFUNCTION("""COMPUTED_VALUE"""),38.43)</f>
        <v>38.43</v>
      </c>
      <c r="D1756" s="1">
        <f>IFERROR(__xludf.DUMMYFUNCTION("""COMPUTED_VALUE"""),37.58)</f>
        <v>37.58</v>
      </c>
      <c r="E1756" s="1">
        <f>IFERROR(__xludf.DUMMYFUNCTION("""COMPUTED_VALUE"""),38.37)</f>
        <v>38.37</v>
      </c>
      <c r="F1756" s="1">
        <f>IFERROR(__xludf.DUMMYFUNCTION("""COMPUTED_VALUE"""),284953.0)</f>
        <v>284953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IFERROR(__xludf.DUMMYFUNCTION("""COMPUTED_VALUE"""),38.24)</f>
        <v>38.24</v>
      </c>
      <c r="C1757" s="1">
        <f>IFERROR(__xludf.DUMMYFUNCTION("""COMPUTED_VALUE"""),38.61)</f>
        <v>38.61</v>
      </c>
      <c r="D1757" s="1">
        <f>IFERROR(__xludf.DUMMYFUNCTION("""COMPUTED_VALUE"""),38.03)</f>
        <v>38.03</v>
      </c>
      <c r="E1757" s="1">
        <f>IFERROR(__xludf.DUMMYFUNCTION("""COMPUTED_VALUE"""),38.44)</f>
        <v>38.44</v>
      </c>
      <c r="F1757" s="1">
        <f>IFERROR(__xludf.DUMMYFUNCTION("""COMPUTED_VALUE"""),283674.0)</f>
        <v>283674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IFERROR(__xludf.DUMMYFUNCTION("""COMPUTED_VALUE"""),38.45)</f>
        <v>38.45</v>
      </c>
      <c r="C1758" s="1">
        <f>IFERROR(__xludf.DUMMYFUNCTION("""COMPUTED_VALUE"""),38.55)</f>
        <v>38.55</v>
      </c>
      <c r="D1758" s="1">
        <f>IFERROR(__xludf.DUMMYFUNCTION("""COMPUTED_VALUE"""),38.02)</f>
        <v>38.02</v>
      </c>
      <c r="E1758" s="1">
        <f>IFERROR(__xludf.DUMMYFUNCTION("""COMPUTED_VALUE"""),38.4)</f>
        <v>38.4</v>
      </c>
      <c r="F1758" s="1">
        <f>IFERROR(__xludf.DUMMYFUNCTION("""COMPUTED_VALUE"""),304289.0)</f>
        <v>304289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IFERROR(__xludf.DUMMYFUNCTION("""COMPUTED_VALUE"""),38.36)</f>
        <v>38.36</v>
      </c>
      <c r="C1759" s="1">
        <f>IFERROR(__xludf.DUMMYFUNCTION("""COMPUTED_VALUE"""),38.52)</f>
        <v>38.52</v>
      </c>
      <c r="D1759" s="1">
        <f>IFERROR(__xludf.DUMMYFUNCTION("""COMPUTED_VALUE"""),38.22)</f>
        <v>38.22</v>
      </c>
      <c r="E1759" s="1">
        <f>IFERROR(__xludf.DUMMYFUNCTION("""COMPUTED_VALUE"""),38.32)</f>
        <v>38.32</v>
      </c>
      <c r="F1759" s="1">
        <f>IFERROR(__xludf.DUMMYFUNCTION("""COMPUTED_VALUE"""),131473.0)</f>
        <v>131473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IFERROR(__xludf.DUMMYFUNCTION("""COMPUTED_VALUE"""),38.5)</f>
        <v>38.5</v>
      </c>
      <c r="C1760" s="1">
        <f>IFERROR(__xludf.DUMMYFUNCTION("""COMPUTED_VALUE"""),38.64)</f>
        <v>38.64</v>
      </c>
      <c r="D1760" s="1">
        <f>IFERROR(__xludf.DUMMYFUNCTION("""COMPUTED_VALUE"""),38.15)</f>
        <v>38.15</v>
      </c>
      <c r="E1760" s="1">
        <f>IFERROR(__xludf.DUMMYFUNCTION("""COMPUTED_VALUE"""),38.56)</f>
        <v>38.56</v>
      </c>
      <c r="F1760" s="1">
        <f>IFERROR(__xludf.DUMMYFUNCTION("""COMPUTED_VALUE"""),167381.0)</f>
        <v>167381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IFERROR(__xludf.DUMMYFUNCTION("""COMPUTED_VALUE"""),38.59)</f>
        <v>38.59</v>
      </c>
      <c r="C1761" s="1">
        <f>IFERROR(__xludf.DUMMYFUNCTION("""COMPUTED_VALUE"""),38.63)</f>
        <v>38.63</v>
      </c>
      <c r="D1761" s="1">
        <f>IFERROR(__xludf.DUMMYFUNCTION("""COMPUTED_VALUE"""),38.21)</f>
        <v>38.21</v>
      </c>
      <c r="E1761" s="1">
        <f>IFERROR(__xludf.DUMMYFUNCTION("""COMPUTED_VALUE"""),38.3)</f>
        <v>38.3</v>
      </c>
      <c r="F1761" s="1">
        <f>IFERROR(__xludf.DUMMYFUNCTION("""COMPUTED_VALUE"""),189334.0)</f>
        <v>189334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IFERROR(__xludf.DUMMYFUNCTION("""COMPUTED_VALUE"""),38.34)</f>
        <v>38.34</v>
      </c>
      <c r="C1762" s="1">
        <f>IFERROR(__xludf.DUMMYFUNCTION("""COMPUTED_VALUE"""),38.73)</f>
        <v>38.73</v>
      </c>
      <c r="D1762" s="1">
        <f>IFERROR(__xludf.DUMMYFUNCTION("""COMPUTED_VALUE"""),37.87)</f>
        <v>37.87</v>
      </c>
      <c r="E1762" s="1">
        <f>IFERROR(__xludf.DUMMYFUNCTION("""COMPUTED_VALUE"""),38.17)</f>
        <v>38.17</v>
      </c>
      <c r="F1762" s="1">
        <f>IFERROR(__xludf.DUMMYFUNCTION("""COMPUTED_VALUE"""),139324.0)</f>
        <v>139324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IFERROR(__xludf.DUMMYFUNCTION("""COMPUTED_VALUE"""),38.15)</f>
        <v>38.15</v>
      </c>
      <c r="C1763" s="1">
        <f>IFERROR(__xludf.DUMMYFUNCTION("""COMPUTED_VALUE"""),38.27)</f>
        <v>38.27</v>
      </c>
      <c r="D1763" s="1">
        <f>IFERROR(__xludf.DUMMYFUNCTION("""COMPUTED_VALUE"""),37.92)</f>
        <v>37.92</v>
      </c>
      <c r="E1763" s="1">
        <f>IFERROR(__xludf.DUMMYFUNCTION("""COMPUTED_VALUE"""),38.03)</f>
        <v>38.03</v>
      </c>
      <c r="F1763" s="1">
        <f>IFERROR(__xludf.DUMMYFUNCTION("""COMPUTED_VALUE"""),339512.0)</f>
        <v>339512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IFERROR(__xludf.DUMMYFUNCTION("""COMPUTED_VALUE"""),38.56)</f>
        <v>38.56</v>
      </c>
      <c r="C1764" s="1">
        <f>IFERROR(__xludf.DUMMYFUNCTION("""COMPUTED_VALUE"""),38.93)</f>
        <v>38.93</v>
      </c>
      <c r="D1764" s="1">
        <f>IFERROR(__xludf.DUMMYFUNCTION("""COMPUTED_VALUE"""),37.78)</f>
        <v>37.78</v>
      </c>
      <c r="E1764" s="1">
        <f>IFERROR(__xludf.DUMMYFUNCTION("""COMPUTED_VALUE"""),38.16)</f>
        <v>38.16</v>
      </c>
      <c r="F1764" s="1">
        <f>IFERROR(__xludf.DUMMYFUNCTION("""COMPUTED_VALUE"""),268433.0)</f>
        <v>268433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IFERROR(__xludf.DUMMYFUNCTION("""COMPUTED_VALUE"""),38.22)</f>
        <v>38.22</v>
      </c>
      <c r="C1765" s="1">
        <f>IFERROR(__xludf.DUMMYFUNCTION("""COMPUTED_VALUE"""),38.99)</f>
        <v>38.99</v>
      </c>
      <c r="D1765" s="1">
        <f>IFERROR(__xludf.DUMMYFUNCTION("""COMPUTED_VALUE"""),38.22)</f>
        <v>38.22</v>
      </c>
      <c r="E1765" s="1">
        <f>IFERROR(__xludf.DUMMYFUNCTION("""COMPUTED_VALUE"""),38.94)</f>
        <v>38.94</v>
      </c>
      <c r="F1765" s="1">
        <f>IFERROR(__xludf.DUMMYFUNCTION("""COMPUTED_VALUE"""),387543.0)</f>
        <v>387543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IFERROR(__xludf.DUMMYFUNCTION("""COMPUTED_VALUE"""),38.73)</f>
        <v>38.73</v>
      </c>
      <c r="C1766" s="1">
        <f>IFERROR(__xludf.DUMMYFUNCTION("""COMPUTED_VALUE"""),38.73)</f>
        <v>38.73</v>
      </c>
      <c r="D1766" s="1">
        <f>IFERROR(__xludf.DUMMYFUNCTION("""COMPUTED_VALUE"""),37.54)</f>
        <v>37.54</v>
      </c>
      <c r="E1766" s="1">
        <f>IFERROR(__xludf.DUMMYFUNCTION("""COMPUTED_VALUE"""),37.84)</f>
        <v>37.84</v>
      </c>
      <c r="F1766" s="1">
        <f>IFERROR(__xludf.DUMMYFUNCTION("""COMPUTED_VALUE"""),337803.0)</f>
        <v>337803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IFERROR(__xludf.DUMMYFUNCTION("""COMPUTED_VALUE"""),38.18)</f>
        <v>38.18</v>
      </c>
      <c r="C1767" s="1">
        <f>IFERROR(__xludf.DUMMYFUNCTION("""COMPUTED_VALUE"""),38.28)</f>
        <v>38.28</v>
      </c>
      <c r="D1767" s="1">
        <f>IFERROR(__xludf.DUMMYFUNCTION("""COMPUTED_VALUE"""),37.75)</f>
        <v>37.75</v>
      </c>
      <c r="E1767" s="1">
        <f>IFERROR(__xludf.DUMMYFUNCTION("""COMPUTED_VALUE"""),37.76)</f>
        <v>37.76</v>
      </c>
      <c r="F1767" s="1">
        <f>IFERROR(__xludf.DUMMYFUNCTION("""COMPUTED_VALUE"""),248427.0)</f>
        <v>248427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IFERROR(__xludf.DUMMYFUNCTION("""COMPUTED_VALUE"""),37.58)</f>
        <v>37.58</v>
      </c>
      <c r="C1768" s="1">
        <f>IFERROR(__xludf.DUMMYFUNCTION("""COMPUTED_VALUE"""),37.58)</f>
        <v>37.58</v>
      </c>
      <c r="D1768" s="1">
        <f>IFERROR(__xludf.DUMMYFUNCTION("""COMPUTED_VALUE"""),36.85)</f>
        <v>36.85</v>
      </c>
      <c r="E1768" s="1">
        <f>IFERROR(__xludf.DUMMYFUNCTION("""COMPUTED_VALUE"""),36.95)</f>
        <v>36.95</v>
      </c>
      <c r="F1768" s="1">
        <f>IFERROR(__xludf.DUMMYFUNCTION("""COMPUTED_VALUE"""),248208.0)</f>
        <v>248208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IFERROR(__xludf.DUMMYFUNCTION("""COMPUTED_VALUE"""),36.95)</f>
        <v>36.95</v>
      </c>
      <c r="C1769" s="1">
        <f>IFERROR(__xludf.DUMMYFUNCTION("""COMPUTED_VALUE"""),37.81)</f>
        <v>37.81</v>
      </c>
      <c r="D1769" s="1">
        <f>IFERROR(__xludf.DUMMYFUNCTION("""COMPUTED_VALUE"""),36.84)</f>
        <v>36.84</v>
      </c>
      <c r="E1769" s="1">
        <f>IFERROR(__xludf.DUMMYFUNCTION("""COMPUTED_VALUE"""),37.77)</f>
        <v>37.77</v>
      </c>
      <c r="F1769" s="1">
        <f>IFERROR(__xludf.DUMMYFUNCTION("""COMPUTED_VALUE"""),452284.0)</f>
        <v>452284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IFERROR(__xludf.DUMMYFUNCTION("""COMPUTED_VALUE"""),37.7)</f>
        <v>37.7</v>
      </c>
      <c r="C1770" s="1">
        <f>IFERROR(__xludf.DUMMYFUNCTION("""COMPUTED_VALUE"""),38.07)</f>
        <v>38.07</v>
      </c>
      <c r="D1770" s="1">
        <f>IFERROR(__xludf.DUMMYFUNCTION("""COMPUTED_VALUE"""),37.35)</f>
        <v>37.35</v>
      </c>
      <c r="E1770" s="1">
        <f>IFERROR(__xludf.DUMMYFUNCTION("""COMPUTED_VALUE"""),38.07)</f>
        <v>38.07</v>
      </c>
      <c r="F1770" s="1">
        <f>IFERROR(__xludf.DUMMYFUNCTION("""COMPUTED_VALUE"""),350011.0)</f>
        <v>350011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IFERROR(__xludf.DUMMYFUNCTION("""COMPUTED_VALUE"""),37.73)</f>
        <v>37.73</v>
      </c>
      <c r="C1771" s="1">
        <f>IFERROR(__xludf.DUMMYFUNCTION("""COMPUTED_VALUE"""),37.8)</f>
        <v>37.8</v>
      </c>
      <c r="D1771" s="1">
        <f>IFERROR(__xludf.DUMMYFUNCTION("""COMPUTED_VALUE"""),36.71)</f>
        <v>36.71</v>
      </c>
      <c r="E1771" s="1">
        <f>IFERROR(__xludf.DUMMYFUNCTION("""COMPUTED_VALUE"""),37.08)</f>
        <v>37.08</v>
      </c>
      <c r="F1771" s="1">
        <f>IFERROR(__xludf.DUMMYFUNCTION("""COMPUTED_VALUE"""),337646.0)</f>
        <v>337646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IFERROR(__xludf.DUMMYFUNCTION("""COMPUTED_VALUE"""),37.43)</f>
        <v>37.43</v>
      </c>
      <c r="C1772" s="1">
        <f>IFERROR(__xludf.DUMMYFUNCTION("""COMPUTED_VALUE"""),38.37)</f>
        <v>38.37</v>
      </c>
      <c r="D1772" s="1">
        <f>IFERROR(__xludf.DUMMYFUNCTION("""COMPUTED_VALUE"""),37.34)</f>
        <v>37.34</v>
      </c>
      <c r="E1772" s="1">
        <f>IFERROR(__xludf.DUMMYFUNCTION("""COMPUTED_VALUE"""),37.56)</f>
        <v>37.56</v>
      </c>
      <c r="F1772" s="1">
        <f>IFERROR(__xludf.DUMMYFUNCTION("""COMPUTED_VALUE"""),228483.0)</f>
        <v>228483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IFERROR(__xludf.DUMMYFUNCTION("""COMPUTED_VALUE"""),37.04)</f>
        <v>37.04</v>
      </c>
      <c r="C1773" s="1">
        <f>IFERROR(__xludf.DUMMYFUNCTION("""COMPUTED_VALUE"""),37.15)</f>
        <v>37.15</v>
      </c>
      <c r="D1773" s="1">
        <f>IFERROR(__xludf.DUMMYFUNCTION("""COMPUTED_VALUE"""),36.21)</f>
        <v>36.21</v>
      </c>
      <c r="E1773" s="1">
        <f>IFERROR(__xludf.DUMMYFUNCTION("""COMPUTED_VALUE"""),36.25)</f>
        <v>36.25</v>
      </c>
      <c r="F1773" s="1">
        <f>IFERROR(__xludf.DUMMYFUNCTION("""COMPUTED_VALUE"""),262208.0)</f>
        <v>262208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IFERROR(__xludf.DUMMYFUNCTION("""COMPUTED_VALUE"""),36.58)</f>
        <v>36.58</v>
      </c>
      <c r="C1774" s="1">
        <f>IFERROR(__xludf.DUMMYFUNCTION("""COMPUTED_VALUE"""),36.58)</f>
        <v>36.58</v>
      </c>
      <c r="D1774" s="1">
        <f>IFERROR(__xludf.DUMMYFUNCTION("""COMPUTED_VALUE"""),35.97)</f>
        <v>35.97</v>
      </c>
      <c r="E1774" s="1">
        <f>IFERROR(__xludf.DUMMYFUNCTION("""COMPUTED_VALUE"""),36.48)</f>
        <v>36.48</v>
      </c>
      <c r="F1774" s="1">
        <f>IFERROR(__xludf.DUMMYFUNCTION("""COMPUTED_VALUE"""),296986.0)</f>
        <v>296986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IFERROR(__xludf.DUMMYFUNCTION("""COMPUTED_VALUE"""),36.63)</f>
        <v>36.63</v>
      </c>
      <c r="C1775" s="1">
        <f>IFERROR(__xludf.DUMMYFUNCTION("""COMPUTED_VALUE"""),36.63)</f>
        <v>36.63</v>
      </c>
      <c r="D1775" s="1">
        <f>IFERROR(__xludf.DUMMYFUNCTION("""COMPUTED_VALUE"""),36.02)</f>
        <v>36.02</v>
      </c>
      <c r="E1775" s="1">
        <f>IFERROR(__xludf.DUMMYFUNCTION("""COMPUTED_VALUE"""),36.28)</f>
        <v>36.28</v>
      </c>
      <c r="F1775" s="1">
        <f>IFERROR(__xludf.DUMMYFUNCTION("""COMPUTED_VALUE"""),218626.0)</f>
        <v>218626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IFERROR(__xludf.DUMMYFUNCTION("""COMPUTED_VALUE"""),36.35)</f>
        <v>36.35</v>
      </c>
      <c r="C1776" s="1">
        <f>IFERROR(__xludf.DUMMYFUNCTION("""COMPUTED_VALUE"""),36.68)</f>
        <v>36.68</v>
      </c>
      <c r="D1776" s="1">
        <f>IFERROR(__xludf.DUMMYFUNCTION("""COMPUTED_VALUE"""),36.24)</f>
        <v>36.24</v>
      </c>
      <c r="E1776" s="1">
        <f>IFERROR(__xludf.DUMMYFUNCTION("""COMPUTED_VALUE"""),36.45)</f>
        <v>36.45</v>
      </c>
      <c r="F1776" s="1">
        <f>IFERROR(__xludf.DUMMYFUNCTION("""COMPUTED_VALUE"""),246157.0)</f>
        <v>246157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IFERROR(__xludf.DUMMYFUNCTION("""COMPUTED_VALUE"""),36.3)</f>
        <v>36.3</v>
      </c>
      <c r="C1777" s="1">
        <f>IFERROR(__xludf.DUMMYFUNCTION("""COMPUTED_VALUE"""),36.44)</f>
        <v>36.44</v>
      </c>
      <c r="D1777" s="1">
        <f>IFERROR(__xludf.DUMMYFUNCTION("""COMPUTED_VALUE"""),35.9)</f>
        <v>35.9</v>
      </c>
      <c r="E1777" s="1">
        <f>IFERROR(__xludf.DUMMYFUNCTION("""COMPUTED_VALUE"""),36.23)</f>
        <v>36.23</v>
      </c>
      <c r="F1777" s="1">
        <f>IFERROR(__xludf.DUMMYFUNCTION("""COMPUTED_VALUE"""),224282.0)</f>
        <v>224282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IFERROR(__xludf.DUMMYFUNCTION("""COMPUTED_VALUE"""),36.4)</f>
        <v>36.4</v>
      </c>
      <c r="C1778" s="1">
        <f>IFERROR(__xludf.DUMMYFUNCTION("""COMPUTED_VALUE"""),36.86)</f>
        <v>36.86</v>
      </c>
      <c r="D1778" s="1">
        <f>IFERROR(__xludf.DUMMYFUNCTION("""COMPUTED_VALUE"""),36.18)</f>
        <v>36.18</v>
      </c>
      <c r="E1778" s="1">
        <f>IFERROR(__xludf.DUMMYFUNCTION("""COMPUTED_VALUE"""),36.71)</f>
        <v>36.71</v>
      </c>
      <c r="F1778" s="1">
        <f>IFERROR(__xludf.DUMMYFUNCTION("""COMPUTED_VALUE"""),577556.0)</f>
        <v>577556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IFERROR(__xludf.DUMMYFUNCTION("""COMPUTED_VALUE"""),37.24)</f>
        <v>37.24</v>
      </c>
      <c r="C1779" s="1">
        <f>IFERROR(__xludf.DUMMYFUNCTION("""COMPUTED_VALUE"""),37.42)</f>
        <v>37.42</v>
      </c>
      <c r="D1779" s="1">
        <f>IFERROR(__xludf.DUMMYFUNCTION("""COMPUTED_VALUE"""),36.98)</f>
        <v>36.98</v>
      </c>
      <c r="E1779" s="1">
        <f>IFERROR(__xludf.DUMMYFUNCTION("""COMPUTED_VALUE"""),37.36)</f>
        <v>37.36</v>
      </c>
      <c r="F1779" s="1">
        <f>IFERROR(__xludf.DUMMYFUNCTION("""COMPUTED_VALUE"""),285919.0)</f>
        <v>285919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IFERROR(__xludf.DUMMYFUNCTION("""COMPUTED_VALUE"""),37.05)</f>
        <v>37.05</v>
      </c>
      <c r="C1780" s="1">
        <f>IFERROR(__xludf.DUMMYFUNCTION("""COMPUTED_VALUE"""),37.79)</f>
        <v>37.79</v>
      </c>
      <c r="D1780" s="1">
        <f>IFERROR(__xludf.DUMMYFUNCTION("""COMPUTED_VALUE"""),36.81)</f>
        <v>36.81</v>
      </c>
      <c r="E1780" s="1">
        <f>IFERROR(__xludf.DUMMYFUNCTION("""COMPUTED_VALUE"""),37.75)</f>
        <v>37.75</v>
      </c>
      <c r="F1780" s="1">
        <f>IFERROR(__xludf.DUMMYFUNCTION("""COMPUTED_VALUE"""),387795.0)</f>
        <v>387795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IFERROR(__xludf.DUMMYFUNCTION("""COMPUTED_VALUE"""),37.83)</f>
        <v>37.83</v>
      </c>
      <c r="C1781" s="1">
        <f>IFERROR(__xludf.DUMMYFUNCTION("""COMPUTED_VALUE"""),37.83)</f>
        <v>37.83</v>
      </c>
      <c r="D1781" s="1">
        <f>IFERROR(__xludf.DUMMYFUNCTION("""COMPUTED_VALUE"""),37.08)</f>
        <v>37.08</v>
      </c>
      <c r="E1781" s="1">
        <f>IFERROR(__xludf.DUMMYFUNCTION("""COMPUTED_VALUE"""),37.13)</f>
        <v>37.13</v>
      </c>
      <c r="F1781" s="1">
        <f>IFERROR(__xludf.DUMMYFUNCTION("""COMPUTED_VALUE"""),241829.0)</f>
        <v>241829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IFERROR(__xludf.DUMMYFUNCTION("""COMPUTED_VALUE"""),36.78)</f>
        <v>36.78</v>
      </c>
      <c r="C1782" s="1">
        <f>IFERROR(__xludf.DUMMYFUNCTION("""COMPUTED_VALUE"""),36.78)</f>
        <v>36.78</v>
      </c>
      <c r="D1782" s="1">
        <f>IFERROR(__xludf.DUMMYFUNCTION("""COMPUTED_VALUE"""),36.04)</f>
        <v>36.04</v>
      </c>
      <c r="E1782" s="1">
        <f>IFERROR(__xludf.DUMMYFUNCTION("""COMPUTED_VALUE"""),36.26)</f>
        <v>36.26</v>
      </c>
      <c r="F1782" s="1">
        <f>IFERROR(__xludf.DUMMYFUNCTION("""COMPUTED_VALUE"""),423874.0)</f>
        <v>423874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IFERROR(__xludf.DUMMYFUNCTION("""COMPUTED_VALUE"""),36.15)</f>
        <v>36.15</v>
      </c>
      <c r="C1783" s="1">
        <f>IFERROR(__xludf.DUMMYFUNCTION("""COMPUTED_VALUE"""),36.61)</f>
        <v>36.61</v>
      </c>
      <c r="D1783" s="1">
        <f>IFERROR(__xludf.DUMMYFUNCTION("""COMPUTED_VALUE"""),36.1)</f>
        <v>36.1</v>
      </c>
      <c r="E1783" s="1">
        <f>IFERROR(__xludf.DUMMYFUNCTION("""COMPUTED_VALUE"""),36.44)</f>
        <v>36.44</v>
      </c>
      <c r="F1783" s="1">
        <f>IFERROR(__xludf.DUMMYFUNCTION("""COMPUTED_VALUE"""),302948.0)</f>
        <v>302948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IFERROR(__xludf.DUMMYFUNCTION("""COMPUTED_VALUE"""),36.54)</f>
        <v>36.54</v>
      </c>
      <c r="C1784" s="1">
        <f>IFERROR(__xludf.DUMMYFUNCTION("""COMPUTED_VALUE"""),37.25)</f>
        <v>37.25</v>
      </c>
      <c r="D1784" s="1">
        <f>IFERROR(__xludf.DUMMYFUNCTION("""COMPUTED_VALUE"""),36.17)</f>
        <v>36.17</v>
      </c>
      <c r="E1784" s="1">
        <f>IFERROR(__xludf.DUMMYFUNCTION("""COMPUTED_VALUE"""),36.39)</f>
        <v>36.39</v>
      </c>
      <c r="F1784" s="1">
        <f>IFERROR(__xludf.DUMMYFUNCTION("""COMPUTED_VALUE"""),352358.0)</f>
        <v>352358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IFERROR(__xludf.DUMMYFUNCTION("""COMPUTED_VALUE"""),36.89)</f>
        <v>36.89</v>
      </c>
      <c r="C1785" s="1">
        <f>IFERROR(__xludf.DUMMYFUNCTION("""COMPUTED_VALUE"""),37.15)</f>
        <v>37.15</v>
      </c>
      <c r="D1785" s="1">
        <f>IFERROR(__xludf.DUMMYFUNCTION("""COMPUTED_VALUE"""),35.88)</f>
        <v>35.88</v>
      </c>
      <c r="E1785" s="1">
        <f>IFERROR(__xludf.DUMMYFUNCTION("""COMPUTED_VALUE"""),36.0)</f>
        <v>36</v>
      </c>
      <c r="F1785" s="1">
        <f>IFERROR(__xludf.DUMMYFUNCTION("""COMPUTED_VALUE"""),558032.0)</f>
        <v>558032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IFERROR(__xludf.DUMMYFUNCTION("""COMPUTED_VALUE"""),36.59)</f>
        <v>36.59</v>
      </c>
      <c r="C1786" s="1">
        <f>IFERROR(__xludf.DUMMYFUNCTION("""COMPUTED_VALUE"""),37.64)</f>
        <v>37.64</v>
      </c>
      <c r="D1786" s="1">
        <f>IFERROR(__xludf.DUMMYFUNCTION("""COMPUTED_VALUE"""),36.48)</f>
        <v>36.48</v>
      </c>
      <c r="E1786" s="1">
        <f>IFERROR(__xludf.DUMMYFUNCTION("""COMPUTED_VALUE"""),37.62)</f>
        <v>37.62</v>
      </c>
      <c r="F1786" s="1">
        <f>IFERROR(__xludf.DUMMYFUNCTION("""COMPUTED_VALUE"""),500302.0)</f>
        <v>500302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IFERROR(__xludf.DUMMYFUNCTION("""COMPUTED_VALUE"""),37.42)</f>
        <v>37.42</v>
      </c>
      <c r="C1787" s="1">
        <f>IFERROR(__xludf.DUMMYFUNCTION("""COMPUTED_VALUE"""),37.66)</f>
        <v>37.66</v>
      </c>
      <c r="D1787" s="1">
        <f>IFERROR(__xludf.DUMMYFUNCTION("""COMPUTED_VALUE"""),37.11)</f>
        <v>37.11</v>
      </c>
      <c r="E1787" s="1">
        <f>IFERROR(__xludf.DUMMYFUNCTION("""COMPUTED_VALUE"""),37.46)</f>
        <v>37.46</v>
      </c>
      <c r="F1787" s="1">
        <f>IFERROR(__xludf.DUMMYFUNCTION("""COMPUTED_VALUE"""),363699.0)</f>
        <v>363699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IFERROR(__xludf.DUMMYFUNCTION("""COMPUTED_VALUE"""),37.66)</f>
        <v>37.66</v>
      </c>
      <c r="C1788" s="1">
        <f>IFERROR(__xludf.DUMMYFUNCTION("""COMPUTED_VALUE"""),37.71)</f>
        <v>37.71</v>
      </c>
      <c r="D1788" s="1">
        <f>IFERROR(__xludf.DUMMYFUNCTION("""COMPUTED_VALUE"""),37.04)</f>
        <v>37.04</v>
      </c>
      <c r="E1788" s="1">
        <f>IFERROR(__xludf.DUMMYFUNCTION("""COMPUTED_VALUE"""),37.3)</f>
        <v>37.3</v>
      </c>
      <c r="F1788" s="1">
        <f>IFERROR(__xludf.DUMMYFUNCTION("""COMPUTED_VALUE"""),253948.0)</f>
        <v>253948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IFERROR(__xludf.DUMMYFUNCTION("""COMPUTED_VALUE"""),37.01)</f>
        <v>37.01</v>
      </c>
      <c r="C1789" s="1">
        <f>IFERROR(__xludf.DUMMYFUNCTION("""COMPUTED_VALUE"""),37.95)</f>
        <v>37.95</v>
      </c>
      <c r="D1789" s="1">
        <f>IFERROR(__xludf.DUMMYFUNCTION("""COMPUTED_VALUE"""),36.41)</f>
        <v>36.41</v>
      </c>
      <c r="E1789" s="1">
        <f>IFERROR(__xludf.DUMMYFUNCTION("""COMPUTED_VALUE"""),37.06)</f>
        <v>37.06</v>
      </c>
      <c r="F1789" s="1">
        <f>IFERROR(__xludf.DUMMYFUNCTION("""COMPUTED_VALUE"""),411155.0)</f>
        <v>411155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IFERROR(__xludf.DUMMYFUNCTION("""COMPUTED_VALUE"""),37.29)</f>
        <v>37.29</v>
      </c>
      <c r="C1790" s="1">
        <f>IFERROR(__xludf.DUMMYFUNCTION("""COMPUTED_VALUE"""),37.97)</f>
        <v>37.97</v>
      </c>
      <c r="D1790" s="1">
        <f>IFERROR(__xludf.DUMMYFUNCTION("""COMPUTED_VALUE"""),37.11)</f>
        <v>37.11</v>
      </c>
      <c r="E1790" s="1">
        <f>IFERROR(__xludf.DUMMYFUNCTION("""COMPUTED_VALUE"""),37.87)</f>
        <v>37.87</v>
      </c>
      <c r="F1790" s="1">
        <f>IFERROR(__xludf.DUMMYFUNCTION("""COMPUTED_VALUE"""),332739.0)</f>
        <v>332739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IFERROR(__xludf.DUMMYFUNCTION("""COMPUTED_VALUE"""),38.12)</f>
        <v>38.12</v>
      </c>
      <c r="C1791" s="1">
        <f>IFERROR(__xludf.DUMMYFUNCTION("""COMPUTED_VALUE"""),38.39)</f>
        <v>38.39</v>
      </c>
      <c r="D1791" s="1">
        <f>IFERROR(__xludf.DUMMYFUNCTION("""COMPUTED_VALUE"""),37.84)</f>
        <v>37.84</v>
      </c>
      <c r="E1791" s="1">
        <f>IFERROR(__xludf.DUMMYFUNCTION("""COMPUTED_VALUE"""),38.26)</f>
        <v>38.26</v>
      </c>
      <c r="F1791" s="1">
        <f>IFERROR(__xludf.DUMMYFUNCTION("""COMPUTED_VALUE"""),305748.0)</f>
        <v>305748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IFERROR(__xludf.DUMMYFUNCTION("""COMPUTED_VALUE"""),38.5)</f>
        <v>38.5</v>
      </c>
      <c r="C1792" s="1">
        <f>IFERROR(__xludf.DUMMYFUNCTION("""COMPUTED_VALUE"""),38.88)</f>
        <v>38.88</v>
      </c>
      <c r="D1792" s="1">
        <f>IFERROR(__xludf.DUMMYFUNCTION("""COMPUTED_VALUE"""),38.21)</f>
        <v>38.21</v>
      </c>
      <c r="E1792" s="1">
        <f>IFERROR(__xludf.DUMMYFUNCTION("""COMPUTED_VALUE"""),38.61)</f>
        <v>38.61</v>
      </c>
      <c r="F1792" s="1">
        <f>IFERROR(__xludf.DUMMYFUNCTION("""COMPUTED_VALUE"""),295350.0)</f>
        <v>295350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IFERROR(__xludf.DUMMYFUNCTION("""COMPUTED_VALUE"""),38.61)</f>
        <v>38.61</v>
      </c>
      <c r="C1793" s="1">
        <f>IFERROR(__xludf.DUMMYFUNCTION("""COMPUTED_VALUE"""),39.05)</f>
        <v>39.05</v>
      </c>
      <c r="D1793" s="1">
        <f>IFERROR(__xludf.DUMMYFUNCTION("""COMPUTED_VALUE"""),38.27)</f>
        <v>38.27</v>
      </c>
      <c r="E1793" s="1">
        <f>IFERROR(__xludf.DUMMYFUNCTION("""COMPUTED_VALUE"""),38.98)</f>
        <v>38.98</v>
      </c>
      <c r="F1793" s="1">
        <f>IFERROR(__xludf.DUMMYFUNCTION("""COMPUTED_VALUE"""),350224.0)</f>
        <v>350224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IFERROR(__xludf.DUMMYFUNCTION("""COMPUTED_VALUE"""),39.2)</f>
        <v>39.2</v>
      </c>
      <c r="C1794" s="1">
        <f>IFERROR(__xludf.DUMMYFUNCTION("""COMPUTED_VALUE"""),39.2)</f>
        <v>39.2</v>
      </c>
      <c r="D1794" s="1">
        <f>IFERROR(__xludf.DUMMYFUNCTION("""COMPUTED_VALUE"""),38.26)</f>
        <v>38.26</v>
      </c>
      <c r="E1794" s="1">
        <f>IFERROR(__xludf.DUMMYFUNCTION("""COMPUTED_VALUE"""),39.05)</f>
        <v>39.05</v>
      </c>
      <c r="F1794" s="1">
        <f>IFERROR(__xludf.DUMMYFUNCTION("""COMPUTED_VALUE"""),272906.0)</f>
        <v>272906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IFERROR(__xludf.DUMMYFUNCTION("""COMPUTED_VALUE"""),39.05)</f>
        <v>39.05</v>
      </c>
      <c r="C1795" s="1">
        <f>IFERROR(__xludf.DUMMYFUNCTION("""COMPUTED_VALUE"""),39.05)</f>
        <v>39.05</v>
      </c>
      <c r="D1795" s="1">
        <f>IFERROR(__xludf.DUMMYFUNCTION("""COMPUTED_VALUE"""),38.6)</f>
        <v>38.6</v>
      </c>
      <c r="E1795" s="1">
        <f>IFERROR(__xludf.DUMMYFUNCTION("""COMPUTED_VALUE"""),39.04)</f>
        <v>39.04</v>
      </c>
      <c r="F1795" s="1">
        <f>IFERROR(__xludf.DUMMYFUNCTION("""COMPUTED_VALUE"""),265641.0)</f>
        <v>265641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IFERROR(__xludf.DUMMYFUNCTION("""COMPUTED_VALUE"""),38.91)</f>
        <v>38.91</v>
      </c>
      <c r="C1796" s="1">
        <f>IFERROR(__xludf.DUMMYFUNCTION("""COMPUTED_VALUE"""),39.43)</f>
        <v>39.43</v>
      </c>
      <c r="D1796" s="1">
        <f>IFERROR(__xludf.DUMMYFUNCTION("""COMPUTED_VALUE"""),38.49)</f>
        <v>38.49</v>
      </c>
      <c r="E1796" s="1">
        <f>IFERROR(__xludf.DUMMYFUNCTION("""COMPUTED_VALUE"""),39.42)</f>
        <v>39.42</v>
      </c>
      <c r="F1796" s="1">
        <f>IFERROR(__xludf.DUMMYFUNCTION("""COMPUTED_VALUE"""),510797.0)</f>
        <v>510797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IFERROR(__xludf.DUMMYFUNCTION("""COMPUTED_VALUE"""),39.5)</f>
        <v>39.5</v>
      </c>
      <c r="C1797" s="1">
        <f>IFERROR(__xludf.DUMMYFUNCTION("""COMPUTED_VALUE"""),40.19)</f>
        <v>40.19</v>
      </c>
      <c r="D1797" s="1">
        <f>IFERROR(__xludf.DUMMYFUNCTION("""COMPUTED_VALUE"""),39.5)</f>
        <v>39.5</v>
      </c>
      <c r="E1797" s="1">
        <f>IFERROR(__xludf.DUMMYFUNCTION("""COMPUTED_VALUE"""),40.14)</f>
        <v>40.14</v>
      </c>
      <c r="F1797" s="1">
        <f>IFERROR(__xludf.DUMMYFUNCTION("""COMPUTED_VALUE"""),645573.0)</f>
        <v>645573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IFERROR(__xludf.DUMMYFUNCTION("""COMPUTED_VALUE"""),39.93)</f>
        <v>39.93</v>
      </c>
      <c r="C1798" s="1">
        <f>IFERROR(__xludf.DUMMYFUNCTION("""COMPUTED_VALUE"""),40.12)</f>
        <v>40.12</v>
      </c>
      <c r="D1798" s="1">
        <f>IFERROR(__xludf.DUMMYFUNCTION("""COMPUTED_VALUE"""),39.59)</f>
        <v>39.59</v>
      </c>
      <c r="E1798" s="1">
        <f>IFERROR(__xludf.DUMMYFUNCTION("""COMPUTED_VALUE"""),39.95)</f>
        <v>39.95</v>
      </c>
      <c r="F1798" s="1">
        <f>IFERROR(__xludf.DUMMYFUNCTION("""COMPUTED_VALUE"""),307594.0)</f>
        <v>307594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IFERROR(__xludf.DUMMYFUNCTION("""COMPUTED_VALUE"""),39.98)</f>
        <v>39.98</v>
      </c>
      <c r="C1799" s="1">
        <f>IFERROR(__xludf.DUMMYFUNCTION("""COMPUTED_VALUE"""),40.14)</f>
        <v>40.14</v>
      </c>
      <c r="D1799" s="1">
        <f>IFERROR(__xludf.DUMMYFUNCTION("""COMPUTED_VALUE"""),39.31)</f>
        <v>39.31</v>
      </c>
      <c r="E1799" s="1">
        <f>IFERROR(__xludf.DUMMYFUNCTION("""COMPUTED_VALUE"""),40.14)</f>
        <v>40.14</v>
      </c>
      <c r="F1799" s="1">
        <f>IFERROR(__xludf.DUMMYFUNCTION("""COMPUTED_VALUE"""),271938.0)</f>
        <v>271938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IFERROR(__xludf.DUMMYFUNCTION("""COMPUTED_VALUE"""),39.59)</f>
        <v>39.59</v>
      </c>
      <c r="C1800" s="1">
        <f>IFERROR(__xludf.DUMMYFUNCTION("""COMPUTED_VALUE"""),39.77)</f>
        <v>39.77</v>
      </c>
      <c r="D1800" s="1">
        <f>IFERROR(__xludf.DUMMYFUNCTION("""COMPUTED_VALUE"""),39.37)</f>
        <v>39.37</v>
      </c>
      <c r="E1800" s="1">
        <f>IFERROR(__xludf.DUMMYFUNCTION("""COMPUTED_VALUE"""),39.71)</f>
        <v>39.71</v>
      </c>
      <c r="F1800" s="1">
        <f>IFERROR(__xludf.DUMMYFUNCTION("""COMPUTED_VALUE"""),455161.0)</f>
        <v>455161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IFERROR(__xludf.DUMMYFUNCTION("""COMPUTED_VALUE"""),39.43)</f>
        <v>39.43</v>
      </c>
      <c r="C1801" s="1">
        <f>IFERROR(__xludf.DUMMYFUNCTION("""COMPUTED_VALUE"""),39.88)</f>
        <v>39.88</v>
      </c>
      <c r="D1801" s="1">
        <f>IFERROR(__xludf.DUMMYFUNCTION("""COMPUTED_VALUE"""),39.37)</f>
        <v>39.37</v>
      </c>
      <c r="E1801" s="1">
        <f>IFERROR(__xludf.DUMMYFUNCTION("""COMPUTED_VALUE"""),39.86)</f>
        <v>39.86</v>
      </c>
      <c r="F1801" s="1">
        <f>IFERROR(__xludf.DUMMYFUNCTION("""COMPUTED_VALUE"""),248778.0)</f>
        <v>248778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IFERROR(__xludf.DUMMYFUNCTION("""COMPUTED_VALUE"""),39.68)</f>
        <v>39.68</v>
      </c>
      <c r="C1802" s="1">
        <f>IFERROR(__xludf.DUMMYFUNCTION("""COMPUTED_VALUE"""),39.76)</f>
        <v>39.76</v>
      </c>
      <c r="D1802" s="1">
        <f>IFERROR(__xludf.DUMMYFUNCTION("""COMPUTED_VALUE"""),39.13)</f>
        <v>39.13</v>
      </c>
      <c r="E1802" s="1">
        <f>IFERROR(__xludf.DUMMYFUNCTION("""COMPUTED_VALUE"""),39.28)</f>
        <v>39.28</v>
      </c>
      <c r="F1802" s="1">
        <f>IFERROR(__xludf.DUMMYFUNCTION("""COMPUTED_VALUE"""),401291.0)</f>
        <v>401291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IFERROR(__xludf.DUMMYFUNCTION("""COMPUTED_VALUE"""),39.98)</f>
        <v>39.98</v>
      </c>
      <c r="C1803" s="1">
        <f>IFERROR(__xludf.DUMMYFUNCTION("""COMPUTED_VALUE"""),40.83)</f>
        <v>40.83</v>
      </c>
      <c r="D1803" s="1">
        <f>IFERROR(__xludf.DUMMYFUNCTION("""COMPUTED_VALUE"""),39.97)</f>
        <v>39.97</v>
      </c>
      <c r="E1803" s="1">
        <f>IFERROR(__xludf.DUMMYFUNCTION("""COMPUTED_VALUE"""),40.77)</f>
        <v>40.77</v>
      </c>
      <c r="F1803" s="1">
        <f>IFERROR(__xludf.DUMMYFUNCTION("""COMPUTED_VALUE"""),433493.0)</f>
        <v>433493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IFERROR(__xludf.DUMMYFUNCTION("""COMPUTED_VALUE"""),40.79)</f>
        <v>40.79</v>
      </c>
      <c r="C1804" s="1">
        <f>IFERROR(__xludf.DUMMYFUNCTION("""COMPUTED_VALUE"""),40.79)</f>
        <v>40.79</v>
      </c>
      <c r="D1804" s="1">
        <f>IFERROR(__xludf.DUMMYFUNCTION("""COMPUTED_VALUE"""),39.39)</f>
        <v>39.39</v>
      </c>
      <c r="E1804" s="1">
        <f>IFERROR(__xludf.DUMMYFUNCTION("""COMPUTED_VALUE"""),39.44)</f>
        <v>39.44</v>
      </c>
      <c r="F1804" s="1">
        <f>IFERROR(__xludf.DUMMYFUNCTION("""COMPUTED_VALUE"""),292862.0)</f>
        <v>292862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IFERROR(__xludf.DUMMYFUNCTION("""COMPUTED_VALUE"""),39.59)</f>
        <v>39.59</v>
      </c>
      <c r="C1805" s="1">
        <f>IFERROR(__xludf.DUMMYFUNCTION("""COMPUTED_VALUE"""),39.86)</f>
        <v>39.86</v>
      </c>
      <c r="D1805" s="1">
        <f>IFERROR(__xludf.DUMMYFUNCTION("""COMPUTED_VALUE"""),39.31)</f>
        <v>39.31</v>
      </c>
      <c r="E1805" s="1">
        <f>IFERROR(__xludf.DUMMYFUNCTION("""COMPUTED_VALUE"""),39.48)</f>
        <v>39.48</v>
      </c>
      <c r="F1805" s="1">
        <f>IFERROR(__xludf.DUMMYFUNCTION("""COMPUTED_VALUE"""),501508.0)</f>
        <v>501508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IFERROR(__xludf.DUMMYFUNCTION("""COMPUTED_VALUE"""),39.2)</f>
        <v>39.2</v>
      </c>
      <c r="C1806" s="1">
        <f>IFERROR(__xludf.DUMMYFUNCTION("""COMPUTED_VALUE"""),39.39)</f>
        <v>39.39</v>
      </c>
      <c r="D1806" s="1">
        <f>IFERROR(__xludf.DUMMYFUNCTION("""COMPUTED_VALUE"""),38.72)</f>
        <v>38.72</v>
      </c>
      <c r="E1806" s="1">
        <f>IFERROR(__xludf.DUMMYFUNCTION("""COMPUTED_VALUE"""),39.19)</f>
        <v>39.19</v>
      </c>
      <c r="F1806" s="1">
        <f>IFERROR(__xludf.DUMMYFUNCTION("""COMPUTED_VALUE"""),314983.0)</f>
        <v>314983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IFERROR(__xludf.DUMMYFUNCTION("""COMPUTED_VALUE"""),39.13)</f>
        <v>39.13</v>
      </c>
      <c r="C1807" s="1">
        <f>IFERROR(__xludf.DUMMYFUNCTION("""COMPUTED_VALUE"""),39.5)</f>
        <v>39.5</v>
      </c>
      <c r="D1807" s="1">
        <f>IFERROR(__xludf.DUMMYFUNCTION("""COMPUTED_VALUE"""),38.85)</f>
        <v>38.85</v>
      </c>
      <c r="E1807" s="1">
        <f>IFERROR(__xludf.DUMMYFUNCTION("""COMPUTED_VALUE"""),38.97)</f>
        <v>38.97</v>
      </c>
      <c r="F1807" s="1">
        <f>IFERROR(__xludf.DUMMYFUNCTION("""COMPUTED_VALUE"""),331385.0)</f>
        <v>331385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IFERROR(__xludf.DUMMYFUNCTION("""COMPUTED_VALUE"""),39.41)</f>
        <v>39.41</v>
      </c>
      <c r="C1808" s="1">
        <f>IFERROR(__xludf.DUMMYFUNCTION("""COMPUTED_VALUE"""),39.68)</f>
        <v>39.68</v>
      </c>
      <c r="D1808" s="1">
        <f>IFERROR(__xludf.DUMMYFUNCTION("""COMPUTED_VALUE"""),38.56)</f>
        <v>38.56</v>
      </c>
      <c r="E1808" s="1">
        <f>IFERROR(__xludf.DUMMYFUNCTION("""COMPUTED_VALUE"""),38.57)</f>
        <v>38.57</v>
      </c>
      <c r="F1808" s="1">
        <f>IFERROR(__xludf.DUMMYFUNCTION("""COMPUTED_VALUE"""),263912.0)</f>
        <v>263912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IFERROR(__xludf.DUMMYFUNCTION("""COMPUTED_VALUE"""),38.64)</f>
        <v>38.64</v>
      </c>
      <c r="C1809" s="1">
        <f>IFERROR(__xludf.DUMMYFUNCTION("""COMPUTED_VALUE"""),39.07)</f>
        <v>39.07</v>
      </c>
      <c r="D1809" s="1">
        <f>IFERROR(__xludf.DUMMYFUNCTION("""COMPUTED_VALUE"""),38.54)</f>
        <v>38.54</v>
      </c>
      <c r="E1809" s="1">
        <f>IFERROR(__xludf.DUMMYFUNCTION("""COMPUTED_VALUE"""),38.6)</f>
        <v>38.6</v>
      </c>
      <c r="F1809" s="1">
        <f>IFERROR(__xludf.DUMMYFUNCTION("""COMPUTED_VALUE"""),432991.0)</f>
        <v>432991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IFERROR(__xludf.DUMMYFUNCTION("""COMPUTED_VALUE"""),39.01)</f>
        <v>39.01</v>
      </c>
      <c r="C1810" s="1">
        <f>IFERROR(__xludf.DUMMYFUNCTION("""COMPUTED_VALUE"""),39.01)</f>
        <v>39.01</v>
      </c>
      <c r="D1810" s="1">
        <f>IFERROR(__xludf.DUMMYFUNCTION("""COMPUTED_VALUE"""),38.03)</f>
        <v>38.03</v>
      </c>
      <c r="E1810" s="1">
        <f>IFERROR(__xludf.DUMMYFUNCTION("""COMPUTED_VALUE"""),38.53)</f>
        <v>38.53</v>
      </c>
      <c r="F1810" s="1">
        <f>IFERROR(__xludf.DUMMYFUNCTION("""COMPUTED_VALUE"""),347047.0)</f>
        <v>347047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IFERROR(__xludf.DUMMYFUNCTION("""COMPUTED_VALUE"""),38.61)</f>
        <v>38.61</v>
      </c>
      <c r="C1811" s="1">
        <f>IFERROR(__xludf.DUMMYFUNCTION("""COMPUTED_VALUE"""),39.32)</f>
        <v>39.32</v>
      </c>
      <c r="D1811" s="1">
        <f>IFERROR(__xludf.DUMMYFUNCTION("""COMPUTED_VALUE"""),38.52)</f>
        <v>38.52</v>
      </c>
      <c r="E1811" s="1">
        <f>IFERROR(__xludf.DUMMYFUNCTION("""COMPUTED_VALUE"""),39.02)</f>
        <v>39.02</v>
      </c>
      <c r="F1811" s="1">
        <f>IFERROR(__xludf.DUMMYFUNCTION("""COMPUTED_VALUE"""),284807.0)</f>
        <v>284807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IFERROR(__xludf.DUMMYFUNCTION("""COMPUTED_VALUE"""),38.72)</f>
        <v>38.72</v>
      </c>
      <c r="C1812" s="1">
        <f>IFERROR(__xludf.DUMMYFUNCTION("""COMPUTED_VALUE"""),39.16)</f>
        <v>39.16</v>
      </c>
      <c r="D1812" s="1">
        <f>IFERROR(__xludf.DUMMYFUNCTION("""COMPUTED_VALUE"""),38.36)</f>
        <v>38.36</v>
      </c>
      <c r="E1812" s="1">
        <f>IFERROR(__xludf.DUMMYFUNCTION("""COMPUTED_VALUE"""),39.02)</f>
        <v>39.02</v>
      </c>
      <c r="F1812" s="1">
        <f>IFERROR(__xludf.DUMMYFUNCTION("""COMPUTED_VALUE"""),242306.0)</f>
        <v>242306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IFERROR(__xludf.DUMMYFUNCTION("""COMPUTED_VALUE"""),39.23)</f>
        <v>39.23</v>
      </c>
      <c r="C1813" s="1">
        <f>IFERROR(__xludf.DUMMYFUNCTION("""COMPUTED_VALUE"""),39.57)</f>
        <v>39.57</v>
      </c>
      <c r="D1813" s="1">
        <f>IFERROR(__xludf.DUMMYFUNCTION("""COMPUTED_VALUE"""),38.73)</f>
        <v>38.73</v>
      </c>
      <c r="E1813" s="1">
        <f>IFERROR(__xludf.DUMMYFUNCTION("""COMPUTED_VALUE"""),38.8)</f>
        <v>38.8</v>
      </c>
      <c r="F1813" s="1">
        <f>IFERROR(__xludf.DUMMYFUNCTION("""COMPUTED_VALUE"""),405407.0)</f>
        <v>405407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IFERROR(__xludf.DUMMYFUNCTION("""COMPUTED_VALUE"""),39.02)</f>
        <v>39.02</v>
      </c>
      <c r="C1814" s="1">
        <f>IFERROR(__xludf.DUMMYFUNCTION("""COMPUTED_VALUE"""),39.42)</f>
        <v>39.42</v>
      </c>
      <c r="D1814" s="1">
        <f>IFERROR(__xludf.DUMMYFUNCTION("""COMPUTED_VALUE"""),38.9)</f>
        <v>38.9</v>
      </c>
      <c r="E1814" s="1">
        <f>IFERROR(__xludf.DUMMYFUNCTION("""COMPUTED_VALUE"""),39.35)</f>
        <v>39.35</v>
      </c>
      <c r="F1814" s="1">
        <f>IFERROR(__xludf.DUMMYFUNCTION("""COMPUTED_VALUE"""),303449.0)</f>
        <v>303449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IFERROR(__xludf.DUMMYFUNCTION("""COMPUTED_VALUE"""),39.19)</f>
        <v>39.19</v>
      </c>
      <c r="C1815" s="1">
        <f>IFERROR(__xludf.DUMMYFUNCTION("""COMPUTED_VALUE"""),39.63)</f>
        <v>39.63</v>
      </c>
      <c r="D1815" s="1">
        <f>IFERROR(__xludf.DUMMYFUNCTION("""COMPUTED_VALUE"""),38.79)</f>
        <v>38.79</v>
      </c>
      <c r="E1815" s="1">
        <f>IFERROR(__xludf.DUMMYFUNCTION("""COMPUTED_VALUE"""),39.4)</f>
        <v>39.4</v>
      </c>
      <c r="F1815" s="1">
        <f>IFERROR(__xludf.DUMMYFUNCTION("""COMPUTED_VALUE"""),1288508.0)</f>
        <v>1288508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IFERROR(__xludf.DUMMYFUNCTION("""COMPUTED_VALUE"""),39.17)</f>
        <v>39.17</v>
      </c>
      <c r="C1816" s="1">
        <f>IFERROR(__xludf.DUMMYFUNCTION("""COMPUTED_VALUE"""),39.2)</f>
        <v>39.2</v>
      </c>
      <c r="D1816" s="1">
        <f>IFERROR(__xludf.DUMMYFUNCTION("""COMPUTED_VALUE"""),38.46)</f>
        <v>38.46</v>
      </c>
      <c r="E1816" s="1">
        <f>IFERROR(__xludf.DUMMYFUNCTION("""COMPUTED_VALUE"""),38.78)</f>
        <v>38.78</v>
      </c>
      <c r="F1816" s="1">
        <f>IFERROR(__xludf.DUMMYFUNCTION("""COMPUTED_VALUE"""),303339.0)</f>
        <v>303339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IFERROR(__xludf.DUMMYFUNCTION("""COMPUTED_VALUE"""),39.16)</f>
        <v>39.16</v>
      </c>
      <c r="C1817" s="1">
        <f>IFERROR(__xludf.DUMMYFUNCTION("""COMPUTED_VALUE"""),39.23)</f>
        <v>39.23</v>
      </c>
      <c r="D1817" s="1">
        <f>IFERROR(__xludf.DUMMYFUNCTION("""COMPUTED_VALUE"""),36.75)</f>
        <v>36.75</v>
      </c>
      <c r="E1817" s="1">
        <f>IFERROR(__xludf.DUMMYFUNCTION("""COMPUTED_VALUE"""),36.77)</f>
        <v>36.77</v>
      </c>
      <c r="F1817" s="1">
        <f>IFERROR(__xludf.DUMMYFUNCTION("""COMPUTED_VALUE"""),1070434.0)</f>
        <v>1070434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IFERROR(__xludf.DUMMYFUNCTION("""COMPUTED_VALUE"""),36.45)</f>
        <v>36.45</v>
      </c>
      <c r="C1818" s="1">
        <f>IFERROR(__xludf.DUMMYFUNCTION("""COMPUTED_VALUE"""),36.85)</f>
        <v>36.85</v>
      </c>
      <c r="D1818" s="1">
        <f>IFERROR(__xludf.DUMMYFUNCTION("""COMPUTED_VALUE"""),35.91)</f>
        <v>35.91</v>
      </c>
      <c r="E1818" s="1">
        <f>IFERROR(__xludf.DUMMYFUNCTION("""COMPUTED_VALUE"""),36.21)</f>
        <v>36.21</v>
      </c>
      <c r="F1818" s="1">
        <f>IFERROR(__xludf.DUMMYFUNCTION("""COMPUTED_VALUE"""),422018.0)</f>
        <v>422018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IFERROR(__xludf.DUMMYFUNCTION("""COMPUTED_VALUE"""),36.18)</f>
        <v>36.18</v>
      </c>
      <c r="C1819" s="1">
        <f>IFERROR(__xludf.DUMMYFUNCTION("""COMPUTED_VALUE"""),37.03)</f>
        <v>37.03</v>
      </c>
      <c r="D1819" s="1">
        <f>IFERROR(__xludf.DUMMYFUNCTION("""COMPUTED_VALUE"""),36.13)</f>
        <v>36.13</v>
      </c>
      <c r="E1819" s="1">
        <f>IFERROR(__xludf.DUMMYFUNCTION("""COMPUTED_VALUE"""),36.63)</f>
        <v>36.63</v>
      </c>
      <c r="F1819" s="1">
        <f>IFERROR(__xludf.DUMMYFUNCTION("""COMPUTED_VALUE"""),304306.0)</f>
        <v>304306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IFERROR(__xludf.DUMMYFUNCTION("""COMPUTED_VALUE"""),36.74)</f>
        <v>36.74</v>
      </c>
      <c r="C1820" s="1">
        <f>IFERROR(__xludf.DUMMYFUNCTION("""COMPUTED_VALUE"""),37.08)</f>
        <v>37.08</v>
      </c>
      <c r="D1820" s="1">
        <f>IFERROR(__xludf.DUMMYFUNCTION("""COMPUTED_VALUE"""),36.29)</f>
        <v>36.29</v>
      </c>
      <c r="E1820" s="1">
        <f>IFERROR(__xludf.DUMMYFUNCTION("""COMPUTED_VALUE"""),36.59)</f>
        <v>36.59</v>
      </c>
      <c r="F1820" s="1">
        <f>IFERROR(__xludf.DUMMYFUNCTION("""COMPUTED_VALUE"""),348754.0)</f>
        <v>348754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IFERROR(__xludf.DUMMYFUNCTION("""COMPUTED_VALUE"""),35.86)</f>
        <v>35.86</v>
      </c>
      <c r="C1821" s="1">
        <f>IFERROR(__xludf.DUMMYFUNCTION("""COMPUTED_VALUE"""),36.53)</f>
        <v>36.53</v>
      </c>
      <c r="D1821" s="1">
        <f>IFERROR(__xludf.DUMMYFUNCTION("""COMPUTED_VALUE"""),35.22)</f>
        <v>35.22</v>
      </c>
      <c r="E1821" s="1">
        <f>IFERROR(__xludf.DUMMYFUNCTION("""COMPUTED_VALUE"""),36.4)</f>
        <v>36.4</v>
      </c>
      <c r="F1821" s="1">
        <f>IFERROR(__xludf.DUMMYFUNCTION("""COMPUTED_VALUE"""),519386.0)</f>
        <v>519386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IFERROR(__xludf.DUMMYFUNCTION("""COMPUTED_VALUE"""),36.14)</f>
        <v>36.14</v>
      </c>
      <c r="C1822" s="1">
        <f>IFERROR(__xludf.DUMMYFUNCTION("""COMPUTED_VALUE"""),37.2)</f>
        <v>37.2</v>
      </c>
      <c r="D1822" s="1">
        <f>IFERROR(__xludf.DUMMYFUNCTION("""COMPUTED_VALUE"""),36.13)</f>
        <v>36.13</v>
      </c>
      <c r="E1822" s="1">
        <f>IFERROR(__xludf.DUMMYFUNCTION("""COMPUTED_VALUE"""),37.01)</f>
        <v>37.01</v>
      </c>
      <c r="F1822" s="1">
        <f>IFERROR(__xludf.DUMMYFUNCTION("""COMPUTED_VALUE"""),429965.0)</f>
        <v>429965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IFERROR(__xludf.DUMMYFUNCTION("""COMPUTED_VALUE"""),36.86)</f>
        <v>36.86</v>
      </c>
      <c r="C1823" s="1">
        <f>IFERROR(__xludf.DUMMYFUNCTION("""COMPUTED_VALUE"""),37.1)</f>
        <v>37.1</v>
      </c>
      <c r="D1823" s="1">
        <f>IFERROR(__xludf.DUMMYFUNCTION("""COMPUTED_VALUE"""),36.61)</f>
        <v>36.61</v>
      </c>
      <c r="E1823" s="1">
        <f>IFERROR(__xludf.DUMMYFUNCTION("""COMPUTED_VALUE"""),36.78)</f>
        <v>36.78</v>
      </c>
      <c r="F1823" s="1">
        <f>IFERROR(__xludf.DUMMYFUNCTION("""COMPUTED_VALUE"""),217229.0)</f>
        <v>217229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IFERROR(__xludf.DUMMYFUNCTION("""COMPUTED_VALUE"""),36.67)</f>
        <v>36.67</v>
      </c>
      <c r="C1824" s="1">
        <f>IFERROR(__xludf.DUMMYFUNCTION("""COMPUTED_VALUE"""),38.3)</f>
        <v>38.3</v>
      </c>
      <c r="D1824" s="1">
        <f>IFERROR(__xludf.DUMMYFUNCTION("""COMPUTED_VALUE"""),36.67)</f>
        <v>36.67</v>
      </c>
      <c r="E1824" s="1">
        <f>IFERROR(__xludf.DUMMYFUNCTION("""COMPUTED_VALUE"""),38.09)</f>
        <v>38.09</v>
      </c>
      <c r="F1824" s="1">
        <f>IFERROR(__xludf.DUMMYFUNCTION("""COMPUTED_VALUE"""),467793.0)</f>
        <v>467793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IFERROR(__xludf.DUMMYFUNCTION("""COMPUTED_VALUE"""),38.03)</f>
        <v>38.03</v>
      </c>
      <c r="C1825" s="1">
        <f>IFERROR(__xludf.DUMMYFUNCTION("""COMPUTED_VALUE"""),38.05)</f>
        <v>38.05</v>
      </c>
      <c r="D1825" s="1">
        <f>IFERROR(__xludf.DUMMYFUNCTION("""COMPUTED_VALUE"""),37.66)</f>
        <v>37.66</v>
      </c>
      <c r="E1825" s="1">
        <f>IFERROR(__xludf.DUMMYFUNCTION("""COMPUTED_VALUE"""),37.68)</f>
        <v>37.68</v>
      </c>
      <c r="F1825" s="1">
        <f>IFERROR(__xludf.DUMMYFUNCTION("""COMPUTED_VALUE"""),463073.0)</f>
        <v>463073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IFERROR(__xludf.DUMMYFUNCTION("""COMPUTED_VALUE"""),37.76)</f>
        <v>37.76</v>
      </c>
      <c r="C1826" s="1">
        <f>IFERROR(__xludf.DUMMYFUNCTION("""COMPUTED_VALUE"""),37.78)</f>
        <v>37.78</v>
      </c>
      <c r="D1826" s="1">
        <f>IFERROR(__xludf.DUMMYFUNCTION("""COMPUTED_VALUE"""),36.76)</f>
        <v>36.76</v>
      </c>
      <c r="E1826" s="1">
        <f>IFERROR(__xludf.DUMMYFUNCTION("""COMPUTED_VALUE"""),37.19)</f>
        <v>37.19</v>
      </c>
      <c r="F1826" s="1">
        <f>IFERROR(__xludf.DUMMYFUNCTION("""COMPUTED_VALUE"""),354923.0)</f>
        <v>354923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IFERROR(__xludf.DUMMYFUNCTION("""COMPUTED_VALUE"""),37.0)</f>
        <v>37</v>
      </c>
      <c r="C1827" s="1">
        <f>IFERROR(__xludf.DUMMYFUNCTION("""COMPUTED_VALUE"""),37.47)</f>
        <v>37.47</v>
      </c>
      <c r="D1827" s="1">
        <f>IFERROR(__xludf.DUMMYFUNCTION("""COMPUTED_VALUE"""),36.86)</f>
        <v>36.86</v>
      </c>
      <c r="E1827" s="1">
        <f>IFERROR(__xludf.DUMMYFUNCTION("""COMPUTED_VALUE"""),37.43)</f>
        <v>37.43</v>
      </c>
      <c r="F1827" s="1">
        <f>IFERROR(__xludf.DUMMYFUNCTION("""COMPUTED_VALUE"""),449008.0)</f>
        <v>449008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IFERROR(__xludf.DUMMYFUNCTION("""COMPUTED_VALUE"""),37.86)</f>
        <v>37.86</v>
      </c>
      <c r="C1828" s="1">
        <f>IFERROR(__xludf.DUMMYFUNCTION("""COMPUTED_VALUE"""),37.93)</f>
        <v>37.93</v>
      </c>
      <c r="D1828" s="1">
        <f>IFERROR(__xludf.DUMMYFUNCTION("""COMPUTED_VALUE"""),36.37)</f>
        <v>36.37</v>
      </c>
      <c r="E1828" s="1">
        <f>IFERROR(__xludf.DUMMYFUNCTION("""COMPUTED_VALUE"""),36.4)</f>
        <v>36.4</v>
      </c>
      <c r="F1828" s="1">
        <f>IFERROR(__xludf.DUMMYFUNCTION("""COMPUTED_VALUE"""),474648.0)</f>
        <v>474648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IFERROR(__xludf.DUMMYFUNCTION("""COMPUTED_VALUE"""),36.42)</f>
        <v>36.42</v>
      </c>
      <c r="C1829" s="1">
        <f>IFERROR(__xludf.DUMMYFUNCTION("""COMPUTED_VALUE"""),36.91)</f>
        <v>36.91</v>
      </c>
      <c r="D1829" s="1">
        <f>IFERROR(__xludf.DUMMYFUNCTION("""COMPUTED_VALUE"""),36.09)</f>
        <v>36.09</v>
      </c>
      <c r="E1829" s="1">
        <f>IFERROR(__xludf.DUMMYFUNCTION("""COMPUTED_VALUE"""),36.89)</f>
        <v>36.89</v>
      </c>
      <c r="F1829" s="1">
        <f>IFERROR(__xludf.DUMMYFUNCTION("""COMPUTED_VALUE"""),792225.0)</f>
        <v>792225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IFERROR(__xludf.DUMMYFUNCTION("""COMPUTED_VALUE"""),36.59)</f>
        <v>36.59</v>
      </c>
      <c r="C1830" s="1">
        <f>IFERROR(__xludf.DUMMYFUNCTION("""COMPUTED_VALUE"""),36.93)</f>
        <v>36.93</v>
      </c>
      <c r="D1830" s="1">
        <f>IFERROR(__xludf.DUMMYFUNCTION("""COMPUTED_VALUE"""),36.42)</f>
        <v>36.42</v>
      </c>
      <c r="E1830" s="1">
        <f>IFERROR(__xludf.DUMMYFUNCTION("""COMPUTED_VALUE"""),36.76)</f>
        <v>36.76</v>
      </c>
      <c r="F1830" s="1">
        <f>IFERROR(__xludf.DUMMYFUNCTION("""COMPUTED_VALUE"""),218679.0)</f>
        <v>218679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IFERROR(__xludf.DUMMYFUNCTION("""COMPUTED_VALUE"""),36.79)</f>
        <v>36.79</v>
      </c>
      <c r="C1831" s="1">
        <f>IFERROR(__xludf.DUMMYFUNCTION("""COMPUTED_VALUE"""),37.1)</f>
        <v>37.1</v>
      </c>
      <c r="D1831" s="1">
        <f>IFERROR(__xludf.DUMMYFUNCTION("""COMPUTED_VALUE"""),36.17)</f>
        <v>36.17</v>
      </c>
      <c r="E1831" s="1">
        <f>IFERROR(__xludf.DUMMYFUNCTION("""COMPUTED_VALUE"""),36.61)</f>
        <v>36.61</v>
      </c>
      <c r="F1831" s="1">
        <f>IFERROR(__xludf.DUMMYFUNCTION("""COMPUTED_VALUE"""),241480.0)</f>
        <v>241480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IFERROR(__xludf.DUMMYFUNCTION("""COMPUTED_VALUE"""),36.37)</f>
        <v>36.37</v>
      </c>
      <c r="C1832" s="1">
        <f>IFERROR(__xludf.DUMMYFUNCTION("""COMPUTED_VALUE"""),37.1)</f>
        <v>37.1</v>
      </c>
      <c r="D1832" s="1">
        <f>IFERROR(__xludf.DUMMYFUNCTION("""COMPUTED_VALUE"""),36.29)</f>
        <v>36.29</v>
      </c>
      <c r="E1832" s="1">
        <f>IFERROR(__xludf.DUMMYFUNCTION("""COMPUTED_VALUE"""),37.08)</f>
        <v>37.08</v>
      </c>
      <c r="F1832" s="1">
        <f>IFERROR(__xludf.DUMMYFUNCTION("""COMPUTED_VALUE"""),481430.0)</f>
        <v>481430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IFERROR(__xludf.DUMMYFUNCTION("""COMPUTED_VALUE"""),36.97)</f>
        <v>36.97</v>
      </c>
      <c r="C1833" s="1">
        <f>IFERROR(__xludf.DUMMYFUNCTION("""COMPUTED_VALUE"""),37.34)</f>
        <v>37.34</v>
      </c>
      <c r="D1833" s="1">
        <f>IFERROR(__xludf.DUMMYFUNCTION("""COMPUTED_VALUE"""),36.42)</f>
        <v>36.42</v>
      </c>
      <c r="E1833" s="1">
        <f>IFERROR(__xludf.DUMMYFUNCTION("""COMPUTED_VALUE"""),36.56)</f>
        <v>36.56</v>
      </c>
      <c r="F1833" s="1">
        <f>IFERROR(__xludf.DUMMYFUNCTION("""COMPUTED_VALUE"""),336761.0)</f>
        <v>336761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IFERROR(__xludf.DUMMYFUNCTION("""COMPUTED_VALUE"""),36.38)</f>
        <v>36.38</v>
      </c>
      <c r="C1834" s="1">
        <f>IFERROR(__xludf.DUMMYFUNCTION("""COMPUTED_VALUE"""),36.61)</f>
        <v>36.61</v>
      </c>
      <c r="D1834" s="1">
        <f>IFERROR(__xludf.DUMMYFUNCTION("""COMPUTED_VALUE"""),35.68)</f>
        <v>35.68</v>
      </c>
      <c r="E1834" s="1">
        <f>IFERROR(__xludf.DUMMYFUNCTION("""COMPUTED_VALUE"""),35.7)</f>
        <v>35.7</v>
      </c>
      <c r="F1834" s="1">
        <f>IFERROR(__xludf.DUMMYFUNCTION("""COMPUTED_VALUE"""),409849.0)</f>
        <v>409849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IFERROR(__xludf.DUMMYFUNCTION("""COMPUTED_VALUE"""),35.5)</f>
        <v>35.5</v>
      </c>
      <c r="C1835" s="1">
        <f>IFERROR(__xludf.DUMMYFUNCTION("""COMPUTED_VALUE"""),36.48)</f>
        <v>36.48</v>
      </c>
      <c r="D1835" s="1">
        <f>IFERROR(__xludf.DUMMYFUNCTION("""COMPUTED_VALUE"""),35.48)</f>
        <v>35.48</v>
      </c>
      <c r="E1835" s="1">
        <f>IFERROR(__xludf.DUMMYFUNCTION("""COMPUTED_VALUE"""),36.47)</f>
        <v>36.47</v>
      </c>
      <c r="F1835" s="1">
        <f>IFERROR(__xludf.DUMMYFUNCTION("""COMPUTED_VALUE"""),318186.0)</f>
        <v>318186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IFERROR(__xludf.DUMMYFUNCTION("""COMPUTED_VALUE"""),36.06)</f>
        <v>36.06</v>
      </c>
      <c r="C1836" s="1">
        <f>IFERROR(__xludf.DUMMYFUNCTION("""COMPUTED_VALUE"""),36.39)</f>
        <v>36.39</v>
      </c>
      <c r="D1836" s="1">
        <f>IFERROR(__xludf.DUMMYFUNCTION("""COMPUTED_VALUE"""),35.71)</f>
        <v>35.71</v>
      </c>
      <c r="E1836" s="1">
        <f>IFERROR(__xludf.DUMMYFUNCTION("""COMPUTED_VALUE"""),36.27)</f>
        <v>36.27</v>
      </c>
      <c r="F1836" s="1">
        <f>IFERROR(__xludf.DUMMYFUNCTION("""COMPUTED_VALUE"""),320498.0)</f>
        <v>320498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IFERROR(__xludf.DUMMYFUNCTION("""COMPUTED_VALUE"""),36.48)</f>
        <v>36.48</v>
      </c>
      <c r="C1837" s="1">
        <f>IFERROR(__xludf.DUMMYFUNCTION("""COMPUTED_VALUE"""),37.15)</f>
        <v>37.15</v>
      </c>
      <c r="D1837" s="1">
        <f>IFERROR(__xludf.DUMMYFUNCTION("""COMPUTED_VALUE"""),36.27)</f>
        <v>36.27</v>
      </c>
      <c r="E1837" s="1">
        <f>IFERROR(__xludf.DUMMYFUNCTION("""COMPUTED_VALUE"""),36.98)</f>
        <v>36.98</v>
      </c>
      <c r="F1837" s="1">
        <f>IFERROR(__xludf.DUMMYFUNCTION("""COMPUTED_VALUE"""),600028.0)</f>
        <v>600028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IFERROR(__xludf.DUMMYFUNCTION("""COMPUTED_VALUE"""),37.7)</f>
        <v>37.7</v>
      </c>
      <c r="C1838" s="1">
        <f>IFERROR(__xludf.DUMMYFUNCTION("""COMPUTED_VALUE"""),39.09)</f>
        <v>39.09</v>
      </c>
      <c r="D1838" s="1">
        <f>IFERROR(__xludf.DUMMYFUNCTION("""COMPUTED_VALUE"""),37.5)</f>
        <v>37.5</v>
      </c>
      <c r="E1838" s="1">
        <f>IFERROR(__xludf.DUMMYFUNCTION("""COMPUTED_VALUE"""),38.22)</f>
        <v>38.22</v>
      </c>
      <c r="F1838" s="1">
        <f>IFERROR(__xludf.DUMMYFUNCTION("""COMPUTED_VALUE"""),676396.0)</f>
        <v>676396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IFERROR(__xludf.DUMMYFUNCTION("""COMPUTED_VALUE"""),38.06)</f>
        <v>38.06</v>
      </c>
      <c r="C1839" s="1">
        <f>IFERROR(__xludf.DUMMYFUNCTION("""COMPUTED_VALUE"""),38.6)</f>
        <v>38.6</v>
      </c>
      <c r="D1839" s="1">
        <f>IFERROR(__xludf.DUMMYFUNCTION("""COMPUTED_VALUE"""),37.88)</f>
        <v>37.88</v>
      </c>
      <c r="E1839" s="1">
        <f>IFERROR(__xludf.DUMMYFUNCTION("""COMPUTED_VALUE"""),38.15)</f>
        <v>38.15</v>
      </c>
      <c r="F1839" s="1">
        <f>IFERROR(__xludf.DUMMYFUNCTION("""COMPUTED_VALUE"""),395379.0)</f>
        <v>395379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IFERROR(__xludf.DUMMYFUNCTION("""COMPUTED_VALUE"""),39.08)</f>
        <v>39.08</v>
      </c>
      <c r="C1840" s="1">
        <f>IFERROR(__xludf.DUMMYFUNCTION("""COMPUTED_VALUE"""),39.5)</f>
        <v>39.5</v>
      </c>
      <c r="D1840" s="1">
        <f>IFERROR(__xludf.DUMMYFUNCTION("""COMPUTED_VALUE"""),38.86)</f>
        <v>38.86</v>
      </c>
      <c r="E1840" s="1">
        <f>IFERROR(__xludf.DUMMYFUNCTION("""COMPUTED_VALUE"""),39.0)</f>
        <v>39</v>
      </c>
      <c r="F1840" s="1">
        <f>IFERROR(__xludf.DUMMYFUNCTION("""COMPUTED_VALUE"""),434992.0)</f>
        <v>434992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IFERROR(__xludf.DUMMYFUNCTION("""COMPUTED_VALUE"""),39.45)</f>
        <v>39.45</v>
      </c>
      <c r="C1841" s="1">
        <f>IFERROR(__xludf.DUMMYFUNCTION("""COMPUTED_VALUE"""),39.74)</f>
        <v>39.74</v>
      </c>
      <c r="D1841" s="1">
        <f>IFERROR(__xludf.DUMMYFUNCTION("""COMPUTED_VALUE"""),39.16)</f>
        <v>39.16</v>
      </c>
      <c r="E1841" s="1">
        <f>IFERROR(__xludf.DUMMYFUNCTION("""COMPUTED_VALUE"""),39.16)</f>
        <v>39.16</v>
      </c>
      <c r="F1841" s="1">
        <f>IFERROR(__xludf.DUMMYFUNCTION("""COMPUTED_VALUE"""),358418.0)</f>
        <v>358418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IFERROR(__xludf.DUMMYFUNCTION("""COMPUTED_VALUE"""),39.11)</f>
        <v>39.11</v>
      </c>
      <c r="C1842" s="1">
        <f>IFERROR(__xludf.DUMMYFUNCTION("""COMPUTED_VALUE"""),40.03)</f>
        <v>40.03</v>
      </c>
      <c r="D1842" s="1">
        <f>IFERROR(__xludf.DUMMYFUNCTION("""COMPUTED_VALUE"""),38.98)</f>
        <v>38.98</v>
      </c>
      <c r="E1842" s="1">
        <f>IFERROR(__xludf.DUMMYFUNCTION("""COMPUTED_VALUE"""),39.61)</f>
        <v>39.61</v>
      </c>
      <c r="F1842" s="1">
        <f>IFERROR(__xludf.DUMMYFUNCTION("""COMPUTED_VALUE"""),412391.0)</f>
        <v>412391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IFERROR(__xludf.DUMMYFUNCTION("""COMPUTED_VALUE"""),39.82)</f>
        <v>39.82</v>
      </c>
      <c r="C1843" s="1">
        <f>IFERROR(__xludf.DUMMYFUNCTION("""COMPUTED_VALUE"""),39.82)</f>
        <v>39.82</v>
      </c>
      <c r="D1843" s="1">
        <f>IFERROR(__xludf.DUMMYFUNCTION("""COMPUTED_VALUE"""),38.86)</f>
        <v>38.86</v>
      </c>
      <c r="E1843" s="1">
        <f>IFERROR(__xludf.DUMMYFUNCTION("""COMPUTED_VALUE"""),38.95)</f>
        <v>38.95</v>
      </c>
      <c r="F1843" s="1">
        <f>IFERROR(__xludf.DUMMYFUNCTION("""COMPUTED_VALUE"""),276542.0)</f>
        <v>276542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IFERROR(__xludf.DUMMYFUNCTION("""COMPUTED_VALUE"""),38.95)</f>
        <v>38.95</v>
      </c>
      <c r="C1844" s="1">
        <f>IFERROR(__xludf.DUMMYFUNCTION("""COMPUTED_VALUE"""),39.08)</f>
        <v>39.08</v>
      </c>
      <c r="D1844" s="1">
        <f>IFERROR(__xludf.DUMMYFUNCTION("""COMPUTED_VALUE"""),38.04)</f>
        <v>38.04</v>
      </c>
      <c r="E1844" s="1">
        <f>IFERROR(__xludf.DUMMYFUNCTION("""COMPUTED_VALUE"""),38.05)</f>
        <v>38.05</v>
      </c>
      <c r="F1844" s="1">
        <f>IFERROR(__xludf.DUMMYFUNCTION("""COMPUTED_VALUE"""),329445.0)</f>
        <v>329445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IFERROR(__xludf.DUMMYFUNCTION("""COMPUTED_VALUE"""),38.26)</f>
        <v>38.26</v>
      </c>
      <c r="C1845" s="1">
        <f>IFERROR(__xludf.DUMMYFUNCTION("""COMPUTED_VALUE"""),39.03)</f>
        <v>39.03</v>
      </c>
      <c r="D1845" s="1">
        <f>IFERROR(__xludf.DUMMYFUNCTION("""COMPUTED_VALUE"""),37.86)</f>
        <v>37.86</v>
      </c>
      <c r="E1845" s="1">
        <f>IFERROR(__xludf.DUMMYFUNCTION("""COMPUTED_VALUE"""),38.69)</f>
        <v>38.69</v>
      </c>
      <c r="F1845" s="1">
        <f>IFERROR(__xludf.DUMMYFUNCTION("""COMPUTED_VALUE"""),427254.0)</f>
        <v>427254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IFERROR(__xludf.DUMMYFUNCTION("""COMPUTED_VALUE"""),38.72)</f>
        <v>38.72</v>
      </c>
      <c r="C1846" s="1">
        <f>IFERROR(__xludf.DUMMYFUNCTION("""COMPUTED_VALUE"""),38.72)</f>
        <v>38.72</v>
      </c>
      <c r="D1846" s="1">
        <f>IFERROR(__xludf.DUMMYFUNCTION("""COMPUTED_VALUE"""),38.16)</f>
        <v>38.16</v>
      </c>
      <c r="E1846" s="1">
        <f>IFERROR(__xludf.DUMMYFUNCTION("""COMPUTED_VALUE"""),38.29)</f>
        <v>38.29</v>
      </c>
      <c r="F1846" s="1">
        <f>IFERROR(__xludf.DUMMYFUNCTION("""COMPUTED_VALUE"""),317375.0)</f>
        <v>317375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IFERROR(__xludf.DUMMYFUNCTION("""COMPUTED_VALUE"""),38.0)</f>
        <v>38</v>
      </c>
      <c r="C1847" s="1">
        <f>IFERROR(__xludf.DUMMYFUNCTION("""COMPUTED_VALUE"""),38.59)</f>
        <v>38.59</v>
      </c>
      <c r="D1847" s="1">
        <f>IFERROR(__xludf.DUMMYFUNCTION("""COMPUTED_VALUE"""),37.86)</f>
        <v>37.86</v>
      </c>
      <c r="E1847" s="1">
        <f>IFERROR(__xludf.DUMMYFUNCTION("""COMPUTED_VALUE"""),38.56)</f>
        <v>38.56</v>
      </c>
      <c r="F1847" s="1">
        <f>IFERROR(__xludf.DUMMYFUNCTION("""COMPUTED_VALUE"""),319548.0)</f>
        <v>319548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IFERROR(__xludf.DUMMYFUNCTION("""COMPUTED_VALUE"""),39.0)</f>
        <v>39</v>
      </c>
      <c r="C1848" s="1">
        <f>IFERROR(__xludf.DUMMYFUNCTION("""COMPUTED_VALUE"""),39.22)</f>
        <v>39.22</v>
      </c>
      <c r="D1848" s="1">
        <f>IFERROR(__xludf.DUMMYFUNCTION("""COMPUTED_VALUE"""),38.55)</f>
        <v>38.55</v>
      </c>
      <c r="E1848" s="1">
        <f>IFERROR(__xludf.DUMMYFUNCTION("""COMPUTED_VALUE"""),38.73)</f>
        <v>38.73</v>
      </c>
      <c r="F1848" s="1">
        <f>IFERROR(__xludf.DUMMYFUNCTION("""COMPUTED_VALUE"""),316309.0)</f>
        <v>316309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IFERROR(__xludf.DUMMYFUNCTION("""COMPUTED_VALUE"""),39.01)</f>
        <v>39.01</v>
      </c>
      <c r="C1849" s="1">
        <f>IFERROR(__xludf.DUMMYFUNCTION("""COMPUTED_VALUE"""),39.01)</f>
        <v>39.01</v>
      </c>
      <c r="D1849" s="1">
        <f>IFERROR(__xludf.DUMMYFUNCTION("""COMPUTED_VALUE"""),38.29)</f>
        <v>38.29</v>
      </c>
      <c r="E1849" s="1">
        <f>IFERROR(__xludf.DUMMYFUNCTION("""COMPUTED_VALUE"""),38.74)</f>
        <v>38.74</v>
      </c>
      <c r="F1849" s="1">
        <f>IFERROR(__xludf.DUMMYFUNCTION("""COMPUTED_VALUE"""),322142.0)</f>
        <v>322142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IFERROR(__xludf.DUMMYFUNCTION("""COMPUTED_VALUE"""),38.79)</f>
        <v>38.79</v>
      </c>
      <c r="C1850" s="1">
        <f>IFERROR(__xludf.DUMMYFUNCTION("""COMPUTED_VALUE"""),39.02)</f>
        <v>39.02</v>
      </c>
      <c r="D1850" s="1">
        <f>IFERROR(__xludf.DUMMYFUNCTION("""COMPUTED_VALUE"""),38.45)</f>
        <v>38.45</v>
      </c>
      <c r="E1850" s="1">
        <f>IFERROR(__xludf.DUMMYFUNCTION("""COMPUTED_VALUE"""),38.94)</f>
        <v>38.94</v>
      </c>
      <c r="F1850" s="1">
        <f>IFERROR(__xludf.DUMMYFUNCTION("""COMPUTED_VALUE"""),401631.0)</f>
        <v>401631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IFERROR(__xludf.DUMMYFUNCTION("""COMPUTED_VALUE"""),39.01)</f>
        <v>39.01</v>
      </c>
      <c r="C1851" s="1">
        <f>IFERROR(__xludf.DUMMYFUNCTION("""COMPUTED_VALUE"""),39.4)</f>
        <v>39.4</v>
      </c>
      <c r="D1851" s="1">
        <f>IFERROR(__xludf.DUMMYFUNCTION("""COMPUTED_VALUE"""),38.51)</f>
        <v>38.51</v>
      </c>
      <c r="E1851" s="1">
        <f>IFERROR(__xludf.DUMMYFUNCTION("""COMPUTED_VALUE"""),38.76)</f>
        <v>38.76</v>
      </c>
      <c r="F1851" s="1">
        <f>IFERROR(__xludf.DUMMYFUNCTION("""COMPUTED_VALUE"""),380196.0)</f>
        <v>380196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IFERROR(__xludf.DUMMYFUNCTION("""COMPUTED_VALUE"""),38.59)</f>
        <v>38.59</v>
      </c>
      <c r="C1852" s="1">
        <f>IFERROR(__xludf.DUMMYFUNCTION("""COMPUTED_VALUE"""),38.97)</f>
        <v>38.97</v>
      </c>
      <c r="D1852" s="1">
        <f>IFERROR(__xludf.DUMMYFUNCTION("""COMPUTED_VALUE"""),38.47)</f>
        <v>38.47</v>
      </c>
      <c r="E1852" s="1">
        <f>IFERROR(__xludf.DUMMYFUNCTION("""COMPUTED_VALUE"""),38.81)</f>
        <v>38.81</v>
      </c>
      <c r="F1852" s="1">
        <f>IFERROR(__xludf.DUMMYFUNCTION("""COMPUTED_VALUE"""),373780.0)</f>
        <v>373780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IFERROR(__xludf.DUMMYFUNCTION("""COMPUTED_VALUE"""),38.56)</f>
        <v>38.56</v>
      </c>
      <c r="C1853" s="1">
        <f>IFERROR(__xludf.DUMMYFUNCTION("""COMPUTED_VALUE"""),38.61)</f>
        <v>38.61</v>
      </c>
      <c r="D1853" s="1">
        <f>IFERROR(__xludf.DUMMYFUNCTION("""COMPUTED_VALUE"""),37.72)</f>
        <v>37.72</v>
      </c>
      <c r="E1853" s="1">
        <f>IFERROR(__xludf.DUMMYFUNCTION("""COMPUTED_VALUE"""),38.0)</f>
        <v>38</v>
      </c>
      <c r="F1853" s="1">
        <f>IFERROR(__xludf.DUMMYFUNCTION("""COMPUTED_VALUE"""),305369.0)</f>
        <v>305369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IFERROR(__xludf.DUMMYFUNCTION("""COMPUTED_VALUE"""),37.76)</f>
        <v>37.76</v>
      </c>
      <c r="C1854" s="1">
        <f>IFERROR(__xludf.DUMMYFUNCTION("""COMPUTED_VALUE"""),37.94)</f>
        <v>37.94</v>
      </c>
      <c r="D1854" s="1">
        <f>IFERROR(__xludf.DUMMYFUNCTION("""COMPUTED_VALUE"""),37.38)</f>
        <v>37.38</v>
      </c>
      <c r="E1854" s="1">
        <f>IFERROR(__xludf.DUMMYFUNCTION("""COMPUTED_VALUE"""),37.86)</f>
        <v>37.86</v>
      </c>
      <c r="F1854" s="1">
        <f>IFERROR(__xludf.DUMMYFUNCTION("""COMPUTED_VALUE"""),543730.0)</f>
        <v>543730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IFERROR(__xludf.DUMMYFUNCTION("""COMPUTED_VALUE"""),38.08)</f>
        <v>38.08</v>
      </c>
      <c r="C1855" s="1">
        <f>IFERROR(__xludf.DUMMYFUNCTION("""COMPUTED_VALUE"""),38.55)</f>
        <v>38.55</v>
      </c>
      <c r="D1855" s="1">
        <f>IFERROR(__xludf.DUMMYFUNCTION("""COMPUTED_VALUE"""),38.01)</f>
        <v>38.01</v>
      </c>
      <c r="E1855" s="1">
        <f>IFERROR(__xludf.DUMMYFUNCTION("""COMPUTED_VALUE"""),38.15)</f>
        <v>38.15</v>
      </c>
      <c r="F1855" s="1">
        <f>IFERROR(__xludf.DUMMYFUNCTION("""COMPUTED_VALUE"""),509442.0)</f>
        <v>509442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IFERROR(__xludf.DUMMYFUNCTION("""COMPUTED_VALUE"""),38.18)</f>
        <v>38.18</v>
      </c>
      <c r="C1856" s="1">
        <f>IFERROR(__xludf.DUMMYFUNCTION("""COMPUTED_VALUE"""),38.44)</f>
        <v>38.44</v>
      </c>
      <c r="D1856" s="1">
        <f>IFERROR(__xludf.DUMMYFUNCTION("""COMPUTED_VALUE"""),37.72)</f>
        <v>37.72</v>
      </c>
      <c r="E1856" s="1">
        <f>IFERROR(__xludf.DUMMYFUNCTION("""COMPUTED_VALUE"""),38.22)</f>
        <v>38.22</v>
      </c>
      <c r="F1856" s="1">
        <f>IFERROR(__xludf.DUMMYFUNCTION("""COMPUTED_VALUE"""),363748.0)</f>
        <v>363748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IFERROR(__xludf.DUMMYFUNCTION("""COMPUTED_VALUE"""),37.39)</f>
        <v>37.39</v>
      </c>
      <c r="C1857" s="1">
        <f>IFERROR(__xludf.DUMMYFUNCTION("""COMPUTED_VALUE"""),37.5)</f>
        <v>37.5</v>
      </c>
      <c r="D1857" s="1">
        <f>IFERROR(__xludf.DUMMYFUNCTION("""COMPUTED_VALUE"""),35.93)</f>
        <v>35.93</v>
      </c>
      <c r="E1857" s="1">
        <f>IFERROR(__xludf.DUMMYFUNCTION("""COMPUTED_VALUE"""),36.29)</f>
        <v>36.29</v>
      </c>
      <c r="F1857" s="1">
        <f>IFERROR(__xludf.DUMMYFUNCTION("""COMPUTED_VALUE"""),642792.0)</f>
        <v>642792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IFERROR(__xludf.DUMMYFUNCTION("""COMPUTED_VALUE"""),36.12)</f>
        <v>36.12</v>
      </c>
      <c r="C1858" s="1">
        <f>IFERROR(__xludf.DUMMYFUNCTION("""COMPUTED_VALUE"""),36.78)</f>
        <v>36.78</v>
      </c>
      <c r="D1858" s="1">
        <f>IFERROR(__xludf.DUMMYFUNCTION("""COMPUTED_VALUE"""),36.11)</f>
        <v>36.11</v>
      </c>
      <c r="E1858" s="1">
        <f>IFERROR(__xludf.DUMMYFUNCTION("""COMPUTED_VALUE"""),36.4)</f>
        <v>36.4</v>
      </c>
      <c r="F1858" s="1">
        <f>IFERROR(__xludf.DUMMYFUNCTION("""COMPUTED_VALUE"""),431582.0)</f>
        <v>431582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IFERROR(__xludf.DUMMYFUNCTION("""COMPUTED_VALUE"""),36.41)</f>
        <v>36.41</v>
      </c>
      <c r="C1859" s="1">
        <f>IFERROR(__xludf.DUMMYFUNCTION("""COMPUTED_VALUE"""),36.84)</f>
        <v>36.84</v>
      </c>
      <c r="D1859" s="1">
        <f>IFERROR(__xludf.DUMMYFUNCTION("""COMPUTED_VALUE"""),36.34)</f>
        <v>36.34</v>
      </c>
      <c r="E1859" s="1">
        <f>IFERROR(__xludf.DUMMYFUNCTION("""COMPUTED_VALUE"""),36.5)</f>
        <v>36.5</v>
      </c>
      <c r="F1859" s="1">
        <f>IFERROR(__xludf.DUMMYFUNCTION("""COMPUTED_VALUE"""),345718.0)</f>
        <v>345718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IFERROR(__xludf.DUMMYFUNCTION("""COMPUTED_VALUE"""),36.66)</f>
        <v>36.66</v>
      </c>
      <c r="C1860" s="1">
        <f>IFERROR(__xludf.DUMMYFUNCTION("""COMPUTED_VALUE"""),36.84)</f>
        <v>36.84</v>
      </c>
      <c r="D1860" s="1">
        <f>IFERROR(__xludf.DUMMYFUNCTION("""COMPUTED_VALUE"""),36.13)</f>
        <v>36.13</v>
      </c>
      <c r="E1860" s="1">
        <f>IFERROR(__xludf.DUMMYFUNCTION("""COMPUTED_VALUE"""),36.79)</f>
        <v>36.79</v>
      </c>
      <c r="F1860" s="1">
        <f>IFERROR(__xludf.DUMMYFUNCTION("""COMPUTED_VALUE"""),356384.0)</f>
        <v>356384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IFERROR(__xludf.DUMMYFUNCTION("""COMPUTED_VALUE"""),36.75)</f>
        <v>36.75</v>
      </c>
      <c r="C1861" s="1">
        <f>IFERROR(__xludf.DUMMYFUNCTION("""COMPUTED_VALUE"""),37.48)</f>
        <v>37.48</v>
      </c>
      <c r="D1861" s="1">
        <f>IFERROR(__xludf.DUMMYFUNCTION("""COMPUTED_VALUE"""),36.45)</f>
        <v>36.45</v>
      </c>
      <c r="E1861" s="1">
        <f>IFERROR(__xludf.DUMMYFUNCTION("""COMPUTED_VALUE"""),37.21)</f>
        <v>37.21</v>
      </c>
      <c r="F1861" s="1">
        <f>IFERROR(__xludf.DUMMYFUNCTION("""COMPUTED_VALUE"""),352490.0)</f>
        <v>352490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IFERROR(__xludf.DUMMYFUNCTION("""COMPUTED_VALUE"""),37.26)</f>
        <v>37.26</v>
      </c>
      <c r="C1862" s="1">
        <f>IFERROR(__xludf.DUMMYFUNCTION("""COMPUTED_VALUE"""),37.85)</f>
        <v>37.85</v>
      </c>
      <c r="D1862" s="1">
        <f>IFERROR(__xludf.DUMMYFUNCTION("""COMPUTED_VALUE"""),36.61)</f>
        <v>36.61</v>
      </c>
      <c r="E1862" s="1">
        <f>IFERROR(__xludf.DUMMYFUNCTION("""COMPUTED_VALUE"""),36.9)</f>
        <v>36.9</v>
      </c>
      <c r="F1862" s="1">
        <f>IFERROR(__xludf.DUMMYFUNCTION("""COMPUTED_VALUE"""),270084.0)</f>
        <v>270084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IFERROR(__xludf.DUMMYFUNCTION("""COMPUTED_VALUE"""),37.04)</f>
        <v>37.04</v>
      </c>
      <c r="C1863" s="1">
        <f>IFERROR(__xludf.DUMMYFUNCTION("""COMPUTED_VALUE"""),37.21)</f>
        <v>37.21</v>
      </c>
      <c r="D1863" s="1">
        <f>IFERROR(__xludf.DUMMYFUNCTION("""COMPUTED_VALUE"""),36.63)</f>
        <v>36.63</v>
      </c>
      <c r="E1863" s="1">
        <f>IFERROR(__xludf.DUMMYFUNCTION("""COMPUTED_VALUE"""),36.91)</f>
        <v>36.91</v>
      </c>
      <c r="F1863" s="1">
        <f>IFERROR(__xludf.DUMMYFUNCTION("""COMPUTED_VALUE"""),262441.0)</f>
        <v>262441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IFERROR(__xludf.DUMMYFUNCTION("""COMPUTED_VALUE"""),36.87)</f>
        <v>36.87</v>
      </c>
      <c r="C1864" s="1">
        <f>IFERROR(__xludf.DUMMYFUNCTION("""COMPUTED_VALUE"""),36.98)</f>
        <v>36.98</v>
      </c>
      <c r="D1864" s="1">
        <f>IFERROR(__xludf.DUMMYFUNCTION("""COMPUTED_VALUE"""),36.6)</f>
        <v>36.6</v>
      </c>
      <c r="E1864" s="1">
        <f>IFERROR(__xludf.DUMMYFUNCTION("""COMPUTED_VALUE"""),36.79)</f>
        <v>36.79</v>
      </c>
      <c r="F1864" s="1">
        <f>IFERROR(__xludf.DUMMYFUNCTION("""COMPUTED_VALUE"""),281646.0)</f>
        <v>281646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IFERROR(__xludf.DUMMYFUNCTION("""COMPUTED_VALUE"""),36.27)</f>
        <v>36.27</v>
      </c>
      <c r="C1865" s="1">
        <f>IFERROR(__xludf.DUMMYFUNCTION("""COMPUTED_VALUE"""),36.52)</f>
        <v>36.52</v>
      </c>
      <c r="D1865" s="1">
        <f>IFERROR(__xludf.DUMMYFUNCTION("""COMPUTED_VALUE"""),35.41)</f>
        <v>35.41</v>
      </c>
      <c r="E1865" s="1">
        <f>IFERROR(__xludf.DUMMYFUNCTION("""COMPUTED_VALUE"""),35.72)</f>
        <v>35.72</v>
      </c>
      <c r="F1865" s="1">
        <f>IFERROR(__xludf.DUMMYFUNCTION("""COMPUTED_VALUE"""),545485.0)</f>
        <v>545485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IFERROR(__xludf.DUMMYFUNCTION("""COMPUTED_VALUE"""),35.79)</f>
        <v>35.79</v>
      </c>
      <c r="C1866" s="1">
        <f>IFERROR(__xludf.DUMMYFUNCTION("""COMPUTED_VALUE"""),35.79)</f>
        <v>35.79</v>
      </c>
      <c r="D1866" s="1">
        <f>IFERROR(__xludf.DUMMYFUNCTION("""COMPUTED_VALUE"""),34.85)</f>
        <v>34.85</v>
      </c>
      <c r="E1866" s="1">
        <f>IFERROR(__xludf.DUMMYFUNCTION("""COMPUTED_VALUE"""),35.5)</f>
        <v>35.5</v>
      </c>
      <c r="F1866" s="1">
        <f>IFERROR(__xludf.DUMMYFUNCTION("""COMPUTED_VALUE"""),339542.0)</f>
        <v>339542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IFERROR(__xludf.DUMMYFUNCTION("""COMPUTED_VALUE"""),35.72)</f>
        <v>35.72</v>
      </c>
      <c r="C1867" s="1">
        <f>IFERROR(__xludf.DUMMYFUNCTION("""COMPUTED_VALUE"""),36.1)</f>
        <v>36.1</v>
      </c>
      <c r="D1867" s="1">
        <f>IFERROR(__xludf.DUMMYFUNCTION("""COMPUTED_VALUE"""),35.25)</f>
        <v>35.25</v>
      </c>
      <c r="E1867" s="1">
        <f>IFERROR(__xludf.DUMMYFUNCTION("""COMPUTED_VALUE"""),36.08)</f>
        <v>36.08</v>
      </c>
      <c r="F1867" s="1">
        <f>IFERROR(__xludf.DUMMYFUNCTION("""COMPUTED_VALUE"""),454851.0)</f>
        <v>454851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IFERROR(__xludf.DUMMYFUNCTION("""COMPUTED_VALUE"""),35.67)</f>
        <v>35.67</v>
      </c>
      <c r="C1868" s="1">
        <f>IFERROR(__xludf.DUMMYFUNCTION("""COMPUTED_VALUE"""),36.57)</f>
        <v>36.57</v>
      </c>
      <c r="D1868" s="1">
        <f>IFERROR(__xludf.DUMMYFUNCTION("""COMPUTED_VALUE"""),35.47)</f>
        <v>35.47</v>
      </c>
      <c r="E1868" s="1">
        <f>IFERROR(__xludf.DUMMYFUNCTION("""COMPUTED_VALUE"""),36.01)</f>
        <v>36.01</v>
      </c>
      <c r="F1868" s="1">
        <f>IFERROR(__xludf.DUMMYFUNCTION("""COMPUTED_VALUE"""),486395.0)</f>
        <v>486395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IFERROR(__xludf.DUMMYFUNCTION("""COMPUTED_VALUE"""),36.08)</f>
        <v>36.08</v>
      </c>
      <c r="C1869" s="1">
        <f>IFERROR(__xludf.DUMMYFUNCTION("""COMPUTED_VALUE"""),36.39)</f>
        <v>36.39</v>
      </c>
      <c r="D1869" s="1">
        <f>IFERROR(__xludf.DUMMYFUNCTION("""COMPUTED_VALUE"""),35.77)</f>
        <v>35.77</v>
      </c>
      <c r="E1869" s="1">
        <f>IFERROR(__xludf.DUMMYFUNCTION("""COMPUTED_VALUE"""),35.83)</f>
        <v>35.83</v>
      </c>
      <c r="F1869" s="1">
        <f>IFERROR(__xludf.DUMMYFUNCTION("""COMPUTED_VALUE"""),483189.0)</f>
        <v>483189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IFERROR(__xludf.DUMMYFUNCTION("""COMPUTED_VALUE"""),35.53)</f>
        <v>35.53</v>
      </c>
      <c r="C1870" s="1">
        <f>IFERROR(__xludf.DUMMYFUNCTION("""COMPUTED_VALUE"""),35.74)</f>
        <v>35.74</v>
      </c>
      <c r="D1870" s="1">
        <f>IFERROR(__xludf.DUMMYFUNCTION("""COMPUTED_VALUE"""),35.12)</f>
        <v>35.12</v>
      </c>
      <c r="E1870" s="1">
        <f>IFERROR(__xludf.DUMMYFUNCTION("""COMPUTED_VALUE"""),35.44)</f>
        <v>35.44</v>
      </c>
      <c r="F1870" s="1">
        <f>IFERROR(__xludf.DUMMYFUNCTION("""COMPUTED_VALUE"""),798930.0)</f>
        <v>798930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IFERROR(__xludf.DUMMYFUNCTION("""COMPUTED_VALUE"""),35.55)</f>
        <v>35.55</v>
      </c>
      <c r="C1871" s="1">
        <f>IFERROR(__xludf.DUMMYFUNCTION("""COMPUTED_VALUE"""),36.59)</f>
        <v>36.59</v>
      </c>
      <c r="D1871" s="1">
        <f>IFERROR(__xludf.DUMMYFUNCTION("""COMPUTED_VALUE"""),35.41)</f>
        <v>35.41</v>
      </c>
      <c r="E1871" s="1">
        <f>IFERROR(__xludf.DUMMYFUNCTION("""COMPUTED_VALUE"""),36.53)</f>
        <v>36.53</v>
      </c>
      <c r="F1871" s="1">
        <f>IFERROR(__xludf.DUMMYFUNCTION("""COMPUTED_VALUE"""),698394.0)</f>
        <v>698394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IFERROR(__xludf.DUMMYFUNCTION("""COMPUTED_VALUE"""),36.56)</f>
        <v>36.56</v>
      </c>
      <c r="C1872" s="1">
        <f>IFERROR(__xludf.DUMMYFUNCTION("""COMPUTED_VALUE"""),38.73)</f>
        <v>38.73</v>
      </c>
      <c r="D1872" s="1">
        <f>IFERROR(__xludf.DUMMYFUNCTION("""COMPUTED_VALUE"""),36.5)</f>
        <v>36.5</v>
      </c>
      <c r="E1872" s="1">
        <f>IFERROR(__xludf.DUMMYFUNCTION("""COMPUTED_VALUE"""),37.88)</f>
        <v>37.88</v>
      </c>
      <c r="F1872" s="1">
        <f>IFERROR(__xludf.DUMMYFUNCTION("""COMPUTED_VALUE"""),824529.0)</f>
        <v>824529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IFERROR(__xludf.DUMMYFUNCTION("""COMPUTED_VALUE"""),38.2)</f>
        <v>38.2</v>
      </c>
      <c r="C1873" s="1">
        <f>IFERROR(__xludf.DUMMYFUNCTION("""COMPUTED_VALUE"""),39.6)</f>
        <v>39.6</v>
      </c>
      <c r="D1873" s="1">
        <f>IFERROR(__xludf.DUMMYFUNCTION("""COMPUTED_VALUE"""),38.2)</f>
        <v>38.2</v>
      </c>
      <c r="E1873" s="1">
        <f>IFERROR(__xludf.DUMMYFUNCTION("""COMPUTED_VALUE"""),39.15)</f>
        <v>39.15</v>
      </c>
      <c r="F1873" s="1">
        <f>IFERROR(__xludf.DUMMYFUNCTION("""COMPUTED_VALUE"""),644129.0)</f>
        <v>644129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IFERROR(__xludf.DUMMYFUNCTION("""COMPUTED_VALUE"""),39.14)</f>
        <v>39.14</v>
      </c>
      <c r="C1874" s="1">
        <f>IFERROR(__xludf.DUMMYFUNCTION("""COMPUTED_VALUE"""),39.69)</f>
        <v>39.69</v>
      </c>
      <c r="D1874" s="1">
        <f>IFERROR(__xludf.DUMMYFUNCTION("""COMPUTED_VALUE"""),38.6)</f>
        <v>38.6</v>
      </c>
      <c r="E1874" s="1">
        <f>IFERROR(__xludf.DUMMYFUNCTION("""COMPUTED_VALUE"""),39.23)</f>
        <v>39.23</v>
      </c>
      <c r="F1874" s="1">
        <f>IFERROR(__xludf.DUMMYFUNCTION("""COMPUTED_VALUE"""),676106.0)</f>
        <v>676106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IFERROR(__xludf.DUMMYFUNCTION("""COMPUTED_VALUE"""),39.45)</f>
        <v>39.45</v>
      </c>
      <c r="C1875" s="1">
        <f>IFERROR(__xludf.DUMMYFUNCTION("""COMPUTED_VALUE"""),39.65)</f>
        <v>39.65</v>
      </c>
      <c r="D1875" s="1">
        <f>IFERROR(__xludf.DUMMYFUNCTION("""COMPUTED_VALUE"""),38.94)</f>
        <v>38.94</v>
      </c>
      <c r="E1875" s="1">
        <f>IFERROR(__xludf.DUMMYFUNCTION("""COMPUTED_VALUE"""),39.11)</f>
        <v>39.11</v>
      </c>
      <c r="F1875" s="1">
        <f>IFERROR(__xludf.DUMMYFUNCTION("""COMPUTED_VALUE"""),336406.0)</f>
        <v>336406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IFERROR(__xludf.DUMMYFUNCTION("""COMPUTED_VALUE"""),38.72)</f>
        <v>38.72</v>
      </c>
      <c r="C1876" s="1">
        <f>IFERROR(__xludf.DUMMYFUNCTION("""COMPUTED_VALUE"""),39.05)</f>
        <v>39.05</v>
      </c>
      <c r="D1876" s="1">
        <f>IFERROR(__xludf.DUMMYFUNCTION("""COMPUTED_VALUE"""),38.11)</f>
        <v>38.11</v>
      </c>
      <c r="E1876" s="1">
        <f>IFERROR(__xludf.DUMMYFUNCTION("""COMPUTED_VALUE"""),39.02)</f>
        <v>39.02</v>
      </c>
      <c r="F1876" s="1">
        <f>IFERROR(__xludf.DUMMYFUNCTION("""COMPUTED_VALUE"""),325999.0)</f>
        <v>325999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IFERROR(__xludf.DUMMYFUNCTION("""COMPUTED_VALUE"""),38.58)</f>
        <v>38.58</v>
      </c>
      <c r="C1877" s="1">
        <f>IFERROR(__xludf.DUMMYFUNCTION("""COMPUTED_VALUE"""),39.43)</f>
        <v>39.43</v>
      </c>
      <c r="D1877" s="1">
        <f>IFERROR(__xludf.DUMMYFUNCTION("""COMPUTED_VALUE"""),38.58)</f>
        <v>38.58</v>
      </c>
      <c r="E1877" s="1">
        <f>IFERROR(__xludf.DUMMYFUNCTION("""COMPUTED_VALUE"""),38.97)</f>
        <v>38.97</v>
      </c>
      <c r="F1877" s="1">
        <f>IFERROR(__xludf.DUMMYFUNCTION("""COMPUTED_VALUE"""),242398.0)</f>
        <v>242398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IFERROR(__xludf.DUMMYFUNCTION("""COMPUTED_VALUE"""),38.6)</f>
        <v>38.6</v>
      </c>
      <c r="C1878" s="1">
        <f>IFERROR(__xludf.DUMMYFUNCTION("""COMPUTED_VALUE"""),38.85)</f>
        <v>38.85</v>
      </c>
      <c r="D1878" s="1">
        <f>IFERROR(__xludf.DUMMYFUNCTION("""COMPUTED_VALUE"""),38.25)</f>
        <v>38.25</v>
      </c>
      <c r="E1878" s="1">
        <f>IFERROR(__xludf.DUMMYFUNCTION("""COMPUTED_VALUE"""),38.78)</f>
        <v>38.78</v>
      </c>
      <c r="F1878" s="1">
        <f>IFERROR(__xludf.DUMMYFUNCTION("""COMPUTED_VALUE"""),984836.0)</f>
        <v>984836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IFERROR(__xludf.DUMMYFUNCTION("""COMPUTED_VALUE"""),38.95)</f>
        <v>38.95</v>
      </c>
      <c r="C1879" s="1">
        <f>IFERROR(__xludf.DUMMYFUNCTION("""COMPUTED_VALUE"""),39.35)</f>
        <v>39.35</v>
      </c>
      <c r="D1879" s="1">
        <f>IFERROR(__xludf.DUMMYFUNCTION("""COMPUTED_VALUE"""),38.53)</f>
        <v>38.53</v>
      </c>
      <c r="E1879" s="1">
        <f>IFERROR(__xludf.DUMMYFUNCTION("""COMPUTED_VALUE"""),38.73)</f>
        <v>38.73</v>
      </c>
      <c r="F1879" s="1">
        <f>IFERROR(__xludf.DUMMYFUNCTION("""COMPUTED_VALUE"""),328843.0)</f>
        <v>328843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IFERROR(__xludf.DUMMYFUNCTION("""COMPUTED_VALUE"""),38.57)</f>
        <v>38.57</v>
      </c>
      <c r="C1880" s="1">
        <f>IFERROR(__xludf.DUMMYFUNCTION("""COMPUTED_VALUE"""),38.69)</f>
        <v>38.69</v>
      </c>
      <c r="D1880" s="1">
        <f>IFERROR(__xludf.DUMMYFUNCTION("""COMPUTED_VALUE"""),38.03)</f>
        <v>38.03</v>
      </c>
      <c r="E1880" s="1">
        <f>IFERROR(__xludf.DUMMYFUNCTION("""COMPUTED_VALUE"""),38.22)</f>
        <v>38.22</v>
      </c>
      <c r="F1880" s="1">
        <f>IFERROR(__xludf.DUMMYFUNCTION("""COMPUTED_VALUE"""),309089.0)</f>
        <v>309089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IFERROR(__xludf.DUMMYFUNCTION("""COMPUTED_VALUE"""),38.27)</f>
        <v>38.27</v>
      </c>
      <c r="C1881" s="1">
        <f>IFERROR(__xludf.DUMMYFUNCTION("""COMPUTED_VALUE"""),38.38)</f>
        <v>38.38</v>
      </c>
      <c r="D1881" s="1">
        <f>IFERROR(__xludf.DUMMYFUNCTION("""COMPUTED_VALUE"""),37.49)</f>
        <v>37.49</v>
      </c>
      <c r="E1881" s="1">
        <f>IFERROR(__xludf.DUMMYFUNCTION("""COMPUTED_VALUE"""),37.58)</f>
        <v>37.58</v>
      </c>
      <c r="F1881" s="1">
        <f>IFERROR(__xludf.DUMMYFUNCTION("""COMPUTED_VALUE"""),531302.0)</f>
        <v>531302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IFERROR(__xludf.DUMMYFUNCTION("""COMPUTED_VALUE"""),37.5)</f>
        <v>37.5</v>
      </c>
      <c r="C1882" s="1">
        <f>IFERROR(__xludf.DUMMYFUNCTION("""COMPUTED_VALUE"""),37.77)</f>
        <v>37.77</v>
      </c>
      <c r="D1882" s="1">
        <f>IFERROR(__xludf.DUMMYFUNCTION("""COMPUTED_VALUE"""),36.94)</f>
        <v>36.94</v>
      </c>
      <c r="E1882" s="1">
        <f>IFERROR(__xludf.DUMMYFUNCTION("""COMPUTED_VALUE"""),37.2)</f>
        <v>37.2</v>
      </c>
      <c r="F1882" s="1">
        <f>IFERROR(__xludf.DUMMYFUNCTION("""COMPUTED_VALUE"""),275318.0)</f>
        <v>275318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IFERROR(__xludf.DUMMYFUNCTION("""COMPUTED_VALUE"""),37.47)</f>
        <v>37.47</v>
      </c>
      <c r="C1883" s="1">
        <f>IFERROR(__xludf.DUMMYFUNCTION("""COMPUTED_VALUE"""),37.47)</f>
        <v>37.47</v>
      </c>
      <c r="D1883" s="1">
        <f>IFERROR(__xludf.DUMMYFUNCTION("""COMPUTED_VALUE"""),36.79)</f>
        <v>36.79</v>
      </c>
      <c r="E1883" s="1">
        <f>IFERROR(__xludf.DUMMYFUNCTION("""COMPUTED_VALUE"""),36.91)</f>
        <v>36.91</v>
      </c>
      <c r="F1883" s="1">
        <f>IFERROR(__xludf.DUMMYFUNCTION("""COMPUTED_VALUE"""),688338.0)</f>
        <v>688338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IFERROR(__xludf.DUMMYFUNCTION("""COMPUTED_VALUE"""),37.16)</f>
        <v>37.16</v>
      </c>
      <c r="C1884" s="1">
        <f>IFERROR(__xludf.DUMMYFUNCTION("""COMPUTED_VALUE"""),37.54)</f>
        <v>37.54</v>
      </c>
      <c r="D1884" s="1">
        <f>IFERROR(__xludf.DUMMYFUNCTION("""COMPUTED_VALUE"""),36.74)</f>
        <v>36.74</v>
      </c>
      <c r="E1884" s="1">
        <f>IFERROR(__xludf.DUMMYFUNCTION("""COMPUTED_VALUE"""),36.99)</f>
        <v>36.99</v>
      </c>
      <c r="F1884" s="1">
        <f>IFERROR(__xludf.DUMMYFUNCTION("""COMPUTED_VALUE"""),404360.0)</f>
        <v>404360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IFERROR(__xludf.DUMMYFUNCTION("""COMPUTED_VALUE"""),37.21)</f>
        <v>37.21</v>
      </c>
      <c r="C1885" s="1">
        <f>IFERROR(__xludf.DUMMYFUNCTION("""COMPUTED_VALUE"""),37.53)</f>
        <v>37.53</v>
      </c>
      <c r="D1885" s="1">
        <f>IFERROR(__xludf.DUMMYFUNCTION("""COMPUTED_VALUE"""),36.92)</f>
        <v>36.92</v>
      </c>
      <c r="E1885" s="1">
        <f>IFERROR(__xludf.DUMMYFUNCTION("""COMPUTED_VALUE"""),36.96)</f>
        <v>36.96</v>
      </c>
      <c r="F1885" s="1">
        <f>IFERROR(__xludf.DUMMYFUNCTION("""COMPUTED_VALUE"""),351643.0)</f>
        <v>351643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IFERROR(__xludf.DUMMYFUNCTION("""COMPUTED_VALUE"""),37.14)</f>
        <v>37.14</v>
      </c>
      <c r="C1886" s="1">
        <f>IFERROR(__xludf.DUMMYFUNCTION("""COMPUTED_VALUE"""),37.94)</f>
        <v>37.94</v>
      </c>
      <c r="D1886" s="1">
        <f>IFERROR(__xludf.DUMMYFUNCTION("""COMPUTED_VALUE"""),37.14)</f>
        <v>37.14</v>
      </c>
      <c r="E1886" s="1">
        <f>IFERROR(__xludf.DUMMYFUNCTION("""COMPUTED_VALUE"""),37.41)</f>
        <v>37.41</v>
      </c>
      <c r="F1886" s="1">
        <f>IFERROR(__xludf.DUMMYFUNCTION("""COMPUTED_VALUE"""),367981.0)</f>
        <v>367981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IFERROR(__xludf.DUMMYFUNCTION("""COMPUTED_VALUE"""),38.42)</f>
        <v>38.42</v>
      </c>
      <c r="C1887" s="1">
        <f>IFERROR(__xludf.DUMMYFUNCTION("""COMPUTED_VALUE"""),38.58)</f>
        <v>38.58</v>
      </c>
      <c r="D1887" s="1">
        <f>IFERROR(__xludf.DUMMYFUNCTION("""COMPUTED_VALUE"""),37.59)</f>
        <v>37.59</v>
      </c>
      <c r="E1887" s="1">
        <f>IFERROR(__xludf.DUMMYFUNCTION("""COMPUTED_VALUE"""),38.09)</f>
        <v>38.09</v>
      </c>
      <c r="F1887" s="1">
        <f>IFERROR(__xludf.DUMMYFUNCTION("""COMPUTED_VALUE"""),380766.0)</f>
        <v>380766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IFERROR(__xludf.DUMMYFUNCTION("""COMPUTED_VALUE"""),38.18)</f>
        <v>38.18</v>
      </c>
      <c r="C1888" s="1">
        <f>IFERROR(__xludf.DUMMYFUNCTION("""COMPUTED_VALUE"""),38.28)</f>
        <v>38.28</v>
      </c>
      <c r="D1888" s="1">
        <f>IFERROR(__xludf.DUMMYFUNCTION("""COMPUTED_VALUE"""),37.79)</f>
        <v>37.79</v>
      </c>
      <c r="E1888" s="1">
        <f>IFERROR(__xludf.DUMMYFUNCTION("""COMPUTED_VALUE"""),37.95)</f>
        <v>37.95</v>
      </c>
      <c r="F1888" s="1">
        <f>IFERROR(__xludf.DUMMYFUNCTION("""COMPUTED_VALUE"""),522294.0)</f>
        <v>522294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IFERROR(__xludf.DUMMYFUNCTION("""COMPUTED_VALUE"""),38.13)</f>
        <v>38.13</v>
      </c>
      <c r="C1889" s="1">
        <f>IFERROR(__xludf.DUMMYFUNCTION("""COMPUTED_VALUE"""),38.83)</f>
        <v>38.83</v>
      </c>
      <c r="D1889" s="1">
        <f>IFERROR(__xludf.DUMMYFUNCTION("""COMPUTED_VALUE"""),38.12)</f>
        <v>38.12</v>
      </c>
      <c r="E1889" s="1">
        <f>IFERROR(__xludf.DUMMYFUNCTION("""COMPUTED_VALUE"""),38.56)</f>
        <v>38.56</v>
      </c>
      <c r="F1889" s="1">
        <f>IFERROR(__xludf.DUMMYFUNCTION("""COMPUTED_VALUE"""),411366.0)</f>
        <v>411366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IFERROR(__xludf.DUMMYFUNCTION("""COMPUTED_VALUE"""),38.86)</f>
        <v>38.86</v>
      </c>
      <c r="C1890" s="1">
        <f>IFERROR(__xludf.DUMMYFUNCTION("""COMPUTED_VALUE"""),38.86)</f>
        <v>38.86</v>
      </c>
      <c r="D1890" s="1">
        <f>IFERROR(__xludf.DUMMYFUNCTION("""COMPUTED_VALUE"""),37.73)</f>
        <v>37.73</v>
      </c>
      <c r="E1890" s="1">
        <f>IFERROR(__xludf.DUMMYFUNCTION("""COMPUTED_VALUE"""),38.13)</f>
        <v>38.13</v>
      </c>
      <c r="F1890" s="1">
        <f>IFERROR(__xludf.DUMMYFUNCTION("""COMPUTED_VALUE"""),585649.0)</f>
        <v>585649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IFERROR(__xludf.DUMMYFUNCTION("""COMPUTED_VALUE"""),38.03)</f>
        <v>38.03</v>
      </c>
      <c r="C1891" s="1">
        <f>IFERROR(__xludf.DUMMYFUNCTION("""COMPUTED_VALUE"""),38.29)</f>
        <v>38.29</v>
      </c>
      <c r="D1891" s="1">
        <f>IFERROR(__xludf.DUMMYFUNCTION("""COMPUTED_VALUE"""),37.34)</f>
        <v>37.34</v>
      </c>
      <c r="E1891" s="1">
        <f>IFERROR(__xludf.DUMMYFUNCTION("""COMPUTED_VALUE"""),37.44)</f>
        <v>37.44</v>
      </c>
      <c r="F1891" s="1">
        <f>IFERROR(__xludf.DUMMYFUNCTION("""COMPUTED_VALUE"""),443967.0)</f>
        <v>443967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IFERROR(__xludf.DUMMYFUNCTION("""COMPUTED_VALUE"""),37.69)</f>
        <v>37.69</v>
      </c>
      <c r="C1892" s="1">
        <f>IFERROR(__xludf.DUMMYFUNCTION("""COMPUTED_VALUE"""),38.14)</f>
        <v>38.14</v>
      </c>
      <c r="D1892" s="1">
        <f>IFERROR(__xludf.DUMMYFUNCTION("""COMPUTED_VALUE"""),37.29)</f>
        <v>37.29</v>
      </c>
      <c r="E1892" s="1">
        <f>IFERROR(__xludf.DUMMYFUNCTION("""COMPUTED_VALUE"""),38.07)</f>
        <v>38.07</v>
      </c>
      <c r="F1892" s="1">
        <f>IFERROR(__xludf.DUMMYFUNCTION("""COMPUTED_VALUE"""),397815.0)</f>
        <v>397815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IFERROR(__xludf.DUMMYFUNCTION("""COMPUTED_VALUE"""),37.8)</f>
        <v>37.8</v>
      </c>
      <c r="C1893" s="1">
        <f>IFERROR(__xludf.DUMMYFUNCTION("""COMPUTED_VALUE"""),37.95)</f>
        <v>37.95</v>
      </c>
      <c r="D1893" s="1">
        <f>IFERROR(__xludf.DUMMYFUNCTION("""COMPUTED_VALUE"""),37.43)</f>
        <v>37.43</v>
      </c>
      <c r="E1893" s="1">
        <f>IFERROR(__xludf.DUMMYFUNCTION("""COMPUTED_VALUE"""),37.46)</f>
        <v>37.46</v>
      </c>
      <c r="F1893" s="1">
        <f>IFERROR(__xludf.DUMMYFUNCTION("""COMPUTED_VALUE"""),418210.0)</f>
        <v>418210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IFERROR(__xludf.DUMMYFUNCTION("""COMPUTED_VALUE"""),37.54)</f>
        <v>37.54</v>
      </c>
      <c r="C1894" s="1">
        <f>IFERROR(__xludf.DUMMYFUNCTION("""COMPUTED_VALUE"""),37.64)</f>
        <v>37.64</v>
      </c>
      <c r="D1894" s="1">
        <f>IFERROR(__xludf.DUMMYFUNCTION("""COMPUTED_VALUE"""),36.97)</f>
        <v>36.97</v>
      </c>
      <c r="E1894" s="1">
        <f>IFERROR(__xludf.DUMMYFUNCTION("""COMPUTED_VALUE"""),37.49)</f>
        <v>37.49</v>
      </c>
      <c r="F1894" s="1">
        <f>IFERROR(__xludf.DUMMYFUNCTION("""COMPUTED_VALUE"""),609242.0)</f>
        <v>609242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IFERROR(__xludf.DUMMYFUNCTION("""COMPUTED_VALUE"""),37.41)</f>
        <v>37.41</v>
      </c>
      <c r="C1895" s="1">
        <f>IFERROR(__xludf.DUMMYFUNCTION("""COMPUTED_VALUE"""),37.98)</f>
        <v>37.98</v>
      </c>
      <c r="D1895" s="1">
        <f>IFERROR(__xludf.DUMMYFUNCTION("""COMPUTED_VALUE"""),37.27)</f>
        <v>37.27</v>
      </c>
      <c r="E1895" s="1">
        <f>IFERROR(__xludf.DUMMYFUNCTION("""COMPUTED_VALUE"""),37.55)</f>
        <v>37.55</v>
      </c>
      <c r="F1895" s="1">
        <f>IFERROR(__xludf.DUMMYFUNCTION("""COMPUTED_VALUE"""),226185.0)</f>
        <v>226185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IFERROR(__xludf.DUMMYFUNCTION("""COMPUTED_VALUE"""),37.53)</f>
        <v>37.53</v>
      </c>
      <c r="C1896" s="1">
        <f>IFERROR(__xludf.DUMMYFUNCTION("""COMPUTED_VALUE"""),37.76)</f>
        <v>37.76</v>
      </c>
      <c r="D1896" s="1">
        <f>IFERROR(__xludf.DUMMYFUNCTION("""COMPUTED_VALUE"""),37.2)</f>
        <v>37.2</v>
      </c>
      <c r="E1896" s="1">
        <f>IFERROR(__xludf.DUMMYFUNCTION("""COMPUTED_VALUE"""),37.64)</f>
        <v>37.64</v>
      </c>
      <c r="F1896" s="1">
        <f>IFERROR(__xludf.DUMMYFUNCTION("""COMPUTED_VALUE"""),280960.0)</f>
        <v>280960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IFERROR(__xludf.DUMMYFUNCTION("""COMPUTED_VALUE"""),37.17)</f>
        <v>37.17</v>
      </c>
      <c r="C1897" s="1">
        <f>IFERROR(__xludf.DUMMYFUNCTION("""COMPUTED_VALUE"""),37.53)</f>
        <v>37.53</v>
      </c>
      <c r="D1897" s="1">
        <f>IFERROR(__xludf.DUMMYFUNCTION("""COMPUTED_VALUE"""),36.9)</f>
        <v>36.9</v>
      </c>
      <c r="E1897" s="1">
        <f>IFERROR(__xludf.DUMMYFUNCTION("""COMPUTED_VALUE"""),37.26)</f>
        <v>37.26</v>
      </c>
      <c r="F1897" s="1">
        <f>IFERROR(__xludf.DUMMYFUNCTION("""COMPUTED_VALUE"""),348277.0)</f>
        <v>348277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IFERROR(__xludf.DUMMYFUNCTION("""COMPUTED_VALUE"""),37.21)</f>
        <v>37.21</v>
      </c>
      <c r="C1898" s="1">
        <f>IFERROR(__xludf.DUMMYFUNCTION("""COMPUTED_VALUE"""),37.79)</f>
        <v>37.79</v>
      </c>
      <c r="D1898" s="1">
        <f>IFERROR(__xludf.DUMMYFUNCTION("""COMPUTED_VALUE"""),36.95)</f>
        <v>36.95</v>
      </c>
      <c r="E1898" s="1">
        <f>IFERROR(__xludf.DUMMYFUNCTION("""COMPUTED_VALUE"""),37.37)</f>
        <v>37.37</v>
      </c>
      <c r="F1898" s="1">
        <f>IFERROR(__xludf.DUMMYFUNCTION("""COMPUTED_VALUE"""),360155.0)</f>
        <v>360155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IFERROR(__xludf.DUMMYFUNCTION("""COMPUTED_VALUE"""),37.12)</f>
        <v>37.12</v>
      </c>
      <c r="C1899" s="1">
        <f>IFERROR(__xludf.DUMMYFUNCTION("""COMPUTED_VALUE"""),37.3)</f>
        <v>37.3</v>
      </c>
      <c r="D1899" s="1">
        <f>IFERROR(__xludf.DUMMYFUNCTION("""COMPUTED_VALUE"""),36.77)</f>
        <v>36.77</v>
      </c>
      <c r="E1899" s="1">
        <f>IFERROR(__xludf.DUMMYFUNCTION("""COMPUTED_VALUE"""),37.14)</f>
        <v>37.14</v>
      </c>
      <c r="F1899" s="1">
        <f>IFERROR(__xludf.DUMMYFUNCTION("""COMPUTED_VALUE"""),294496.0)</f>
        <v>294496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IFERROR(__xludf.DUMMYFUNCTION("""COMPUTED_VALUE"""),37.16)</f>
        <v>37.16</v>
      </c>
      <c r="C1900" s="1">
        <f>IFERROR(__xludf.DUMMYFUNCTION("""COMPUTED_VALUE"""),37.62)</f>
        <v>37.62</v>
      </c>
      <c r="D1900" s="1">
        <f>IFERROR(__xludf.DUMMYFUNCTION("""COMPUTED_VALUE"""),37.08)</f>
        <v>37.08</v>
      </c>
      <c r="E1900" s="1">
        <f>IFERROR(__xludf.DUMMYFUNCTION("""COMPUTED_VALUE"""),37.46)</f>
        <v>37.46</v>
      </c>
      <c r="F1900" s="1">
        <f>IFERROR(__xludf.DUMMYFUNCTION("""COMPUTED_VALUE"""),557841.0)</f>
        <v>557841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IFERROR(__xludf.DUMMYFUNCTION("""COMPUTED_VALUE"""),36.95)</f>
        <v>36.95</v>
      </c>
      <c r="C1901" s="1">
        <f>IFERROR(__xludf.DUMMYFUNCTION("""COMPUTED_VALUE"""),38.75)</f>
        <v>38.75</v>
      </c>
      <c r="D1901" s="1">
        <f>IFERROR(__xludf.DUMMYFUNCTION("""COMPUTED_VALUE"""),36.95)</f>
        <v>36.95</v>
      </c>
      <c r="E1901" s="1">
        <f>IFERROR(__xludf.DUMMYFUNCTION("""COMPUTED_VALUE"""),38.38)</f>
        <v>38.38</v>
      </c>
      <c r="F1901" s="1">
        <f>IFERROR(__xludf.DUMMYFUNCTION("""COMPUTED_VALUE"""),772378.0)</f>
        <v>772378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IFERROR(__xludf.DUMMYFUNCTION("""COMPUTED_VALUE"""),38.65)</f>
        <v>38.65</v>
      </c>
      <c r="C1902" s="1">
        <f>IFERROR(__xludf.DUMMYFUNCTION("""COMPUTED_VALUE"""),38.65)</f>
        <v>38.65</v>
      </c>
      <c r="D1902" s="1">
        <f>IFERROR(__xludf.DUMMYFUNCTION("""COMPUTED_VALUE"""),37.97)</f>
        <v>37.97</v>
      </c>
      <c r="E1902" s="1">
        <f>IFERROR(__xludf.DUMMYFUNCTION("""COMPUTED_VALUE"""),38.2)</f>
        <v>38.2</v>
      </c>
      <c r="F1902" s="1">
        <f>IFERROR(__xludf.DUMMYFUNCTION("""COMPUTED_VALUE"""),590038.0)</f>
        <v>590038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IFERROR(__xludf.DUMMYFUNCTION("""COMPUTED_VALUE"""),38.16)</f>
        <v>38.16</v>
      </c>
      <c r="C1903" s="1">
        <f>IFERROR(__xludf.DUMMYFUNCTION("""COMPUTED_VALUE"""),38.46)</f>
        <v>38.46</v>
      </c>
      <c r="D1903" s="1">
        <f>IFERROR(__xludf.DUMMYFUNCTION("""COMPUTED_VALUE"""),38.01)</f>
        <v>38.01</v>
      </c>
      <c r="E1903" s="1">
        <f>IFERROR(__xludf.DUMMYFUNCTION("""COMPUTED_VALUE"""),38.33)</f>
        <v>38.33</v>
      </c>
      <c r="F1903" s="1">
        <f>IFERROR(__xludf.DUMMYFUNCTION("""COMPUTED_VALUE"""),313332.0)</f>
        <v>313332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IFERROR(__xludf.DUMMYFUNCTION("""COMPUTED_VALUE"""),39.06)</f>
        <v>39.06</v>
      </c>
      <c r="C1904" s="1">
        <f>IFERROR(__xludf.DUMMYFUNCTION("""COMPUTED_VALUE"""),39.24)</f>
        <v>39.24</v>
      </c>
      <c r="D1904" s="1">
        <f>IFERROR(__xludf.DUMMYFUNCTION("""COMPUTED_VALUE"""),38.75)</f>
        <v>38.75</v>
      </c>
      <c r="E1904" s="1">
        <f>IFERROR(__xludf.DUMMYFUNCTION("""COMPUTED_VALUE"""),39.04)</f>
        <v>39.04</v>
      </c>
      <c r="F1904" s="1">
        <f>IFERROR(__xludf.DUMMYFUNCTION("""COMPUTED_VALUE"""),625657.0)</f>
        <v>625657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IFERROR(__xludf.DUMMYFUNCTION("""COMPUTED_VALUE"""),39.11)</f>
        <v>39.11</v>
      </c>
      <c r="C1905" s="1">
        <f>IFERROR(__xludf.DUMMYFUNCTION("""COMPUTED_VALUE"""),39.11)</f>
        <v>39.11</v>
      </c>
      <c r="D1905" s="1">
        <f>IFERROR(__xludf.DUMMYFUNCTION("""COMPUTED_VALUE"""),37.96)</f>
        <v>37.96</v>
      </c>
      <c r="E1905" s="1">
        <f>IFERROR(__xludf.DUMMYFUNCTION("""COMPUTED_VALUE"""),38.03)</f>
        <v>38.03</v>
      </c>
      <c r="F1905" s="1">
        <f>IFERROR(__xludf.DUMMYFUNCTION("""COMPUTED_VALUE"""),261882.0)</f>
        <v>261882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IFERROR(__xludf.DUMMYFUNCTION("""COMPUTED_VALUE"""),38.1)</f>
        <v>38.1</v>
      </c>
      <c r="C1906" s="1">
        <f>IFERROR(__xludf.DUMMYFUNCTION("""COMPUTED_VALUE"""),38.43)</f>
        <v>38.43</v>
      </c>
      <c r="D1906" s="1">
        <f>IFERROR(__xludf.DUMMYFUNCTION("""COMPUTED_VALUE"""),37.62)</f>
        <v>37.62</v>
      </c>
      <c r="E1906" s="1">
        <f>IFERROR(__xludf.DUMMYFUNCTION("""COMPUTED_VALUE"""),37.78)</f>
        <v>37.78</v>
      </c>
      <c r="F1906" s="1">
        <f>IFERROR(__xludf.DUMMYFUNCTION("""COMPUTED_VALUE"""),330780.0)</f>
        <v>330780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IFERROR(__xludf.DUMMYFUNCTION("""COMPUTED_VALUE"""),37.54)</f>
        <v>37.54</v>
      </c>
      <c r="C1907" s="1">
        <f>IFERROR(__xludf.DUMMYFUNCTION("""COMPUTED_VALUE"""),37.69)</f>
        <v>37.69</v>
      </c>
      <c r="D1907" s="1">
        <f>IFERROR(__xludf.DUMMYFUNCTION("""COMPUTED_VALUE"""),37.34)</f>
        <v>37.34</v>
      </c>
      <c r="E1907" s="1">
        <f>IFERROR(__xludf.DUMMYFUNCTION("""COMPUTED_VALUE"""),37.55)</f>
        <v>37.55</v>
      </c>
      <c r="F1907" s="1">
        <f>IFERROR(__xludf.DUMMYFUNCTION("""COMPUTED_VALUE"""),246486.0)</f>
        <v>246486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IFERROR(__xludf.DUMMYFUNCTION("""COMPUTED_VALUE"""),37.64)</f>
        <v>37.64</v>
      </c>
      <c r="C1908" s="1">
        <f>IFERROR(__xludf.DUMMYFUNCTION("""COMPUTED_VALUE"""),37.8)</f>
        <v>37.8</v>
      </c>
      <c r="D1908" s="1">
        <f>IFERROR(__xludf.DUMMYFUNCTION("""COMPUTED_VALUE"""),37.42)</f>
        <v>37.42</v>
      </c>
      <c r="E1908" s="1">
        <f>IFERROR(__xludf.DUMMYFUNCTION("""COMPUTED_VALUE"""),37.45)</f>
        <v>37.45</v>
      </c>
      <c r="F1908" s="1">
        <f>IFERROR(__xludf.DUMMYFUNCTION("""COMPUTED_VALUE"""),328616.0)</f>
        <v>328616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IFERROR(__xludf.DUMMYFUNCTION("""COMPUTED_VALUE"""),37.81)</f>
        <v>37.81</v>
      </c>
      <c r="C1909" s="1">
        <f>IFERROR(__xludf.DUMMYFUNCTION("""COMPUTED_VALUE"""),37.9)</f>
        <v>37.9</v>
      </c>
      <c r="D1909" s="1">
        <f>IFERROR(__xludf.DUMMYFUNCTION("""COMPUTED_VALUE"""),37.41)</f>
        <v>37.41</v>
      </c>
      <c r="E1909" s="1">
        <f>IFERROR(__xludf.DUMMYFUNCTION("""COMPUTED_VALUE"""),37.7)</f>
        <v>37.7</v>
      </c>
      <c r="F1909" s="1">
        <f>IFERROR(__xludf.DUMMYFUNCTION("""COMPUTED_VALUE"""),306356.0)</f>
        <v>306356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IFERROR(__xludf.DUMMYFUNCTION("""COMPUTED_VALUE"""),37.75)</f>
        <v>37.75</v>
      </c>
      <c r="C1910" s="1">
        <f>IFERROR(__xludf.DUMMYFUNCTION("""COMPUTED_VALUE"""),38.14)</f>
        <v>38.14</v>
      </c>
      <c r="D1910" s="1">
        <f>IFERROR(__xludf.DUMMYFUNCTION("""COMPUTED_VALUE"""),37.64)</f>
        <v>37.64</v>
      </c>
      <c r="E1910" s="1">
        <f>IFERROR(__xludf.DUMMYFUNCTION("""COMPUTED_VALUE"""),37.89)</f>
        <v>37.89</v>
      </c>
      <c r="F1910" s="1">
        <f>IFERROR(__xludf.DUMMYFUNCTION("""COMPUTED_VALUE"""),604500.0)</f>
        <v>604500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IFERROR(__xludf.DUMMYFUNCTION("""COMPUTED_VALUE"""),37.86)</f>
        <v>37.86</v>
      </c>
      <c r="C1911" s="1">
        <f>IFERROR(__xludf.DUMMYFUNCTION("""COMPUTED_VALUE"""),37.93)</f>
        <v>37.93</v>
      </c>
      <c r="D1911" s="1">
        <f>IFERROR(__xludf.DUMMYFUNCTION("""COMPUTED_VALUE"""),37.12)</f>
        <v>37.12</v>
      </c>
      <c r="E1911" s="1">
        <f>IFERROR(__xludf.DUMMYFUNCTION("""COMPUTED_VALUE"""),37.24)</f>
        <v>37.24</v>
      </c>
      <c r="F1911" s="1">
        <f>IFERROR(__xludf.DUMMYFUNCTION("""COMPUTED_VALUE"""),458651.0)</f>
        <v>458651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IFERROR(__xludf.DUMMYFUNCTION("""COMPUTED_VALUE"""),37.52)</f>
        <v>37.52</v>
      </c>
      <c r="C1912" s="1">
        <f>IFERROR(__xludf.DUMMYFUNCTION("""COMPUTED_VALUE"""),37.85)</f>
        <v>37.85</v>
      </c>
      <c r="D1912" s="1">
        <f>IFERROR(__xludf.DUMMYFUNCTION("""COMPUTED_VALUE"""),37.2)</f>
        <v>37.2</v>
      </c>
      <c r="E1912" s="1">
        <f>IFERROR(__xludf.DUMMYFUNCTION("""COMPUTED_VALUE"""),37.56)</f>
        <v>37.56</v>
      </c>
      <c r="F1912" s="1">
        <f>IFERROR(__xludf.DUMMYFUNCTION("""COMPUTED_VALUE"""),222822.0)</f>
        <v>222822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IFERROR(__xludf.DUMMYFUNCTION("""COMPUTED_VALUE"""),37.56)</f>
        <v>37.56</v>
      </c>
      <c r="C1913" s="1">
        <f>IFERROR(__xludf.DUMMYFUNCTION("""COMPUTED_VALUE"""),37.56)</f>
        <v>37.56</v>
      </c>
      <c r="D1913" s="1">
        <f>IFERROR(__xludf.DUMMYFUNCTION("""COMPUTED_VALUE"""),37.08)</f>
        <v>37.08</v>
      </c>
      <c r="E1913" s="1">
        <f>IFERROR(__xludf.DUMMYFUNCTION("""COMPUTED_VALUE"""),37.19)</f>
        <v>37.19</v>
      </c>
      <c r="F1913" s="1">
        <f>IFERROR(__xludf.DUMMYFUNCTION("""COMPUTED_VALUE"""),225957.0)</f>
        <v>225957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IFERROR(__xludf.DUMMYFUNCTION("""COMPUTED_VALUE"""),37.18)</f>
        <v>37.18</v>
      </c>
      <c r="C1914" s="1">
        <f>IFERROR(__xludf.DUMMYFUNCTION("""COMPUTED_VALUE"""),37.9)</f>
        <v>37.9</v>
      </c>
      <c r="D1914" s="1">
        <f>IFERROR(__xludf.DUMMYFUNCTION("""COMPUTED_VALUE"""),36.98)</f>
        <v>36.98</v>
      </c>
      <c r="E1914" s="1">
        <f>IFERROR(__xludf.DUMMYFUNCTION("""COMPUTED_VALUE"""),37.16)</f>
        <v>37.16</v>
      </c>
      <c r="F1914" s="1">
        <f>IFERROR(__xludf.DUMMYFUNCTION("""COMPUTED_VALUE"""),363432.0)</f>
        <v>363432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IFERROR(__xludf.DUMMYFUNCTION("""COMPUTED_VALUE"""),36.76)</f>
        <v>36.76</v>
      </c>
      <c r="C1915" s="1">
        <f>IFERROR(__xludf.DUMMYFUNCTION("""COMPUTED_VALUE"""),36.92)</f>
        <v>36.92</v>
      </c>
      <c r="D1915" s="1">
        <f>IFERROR(__xludf.DUMMYFUNCTION("""COMPUTED_VALUE"""),36.06)</f>
        <v>36.06</v>
      </c>
      <c r="E1915" s="1">
        <f>IFERROR(__xludf.DUMMYFUNCTION("""COMPUTED_VALUE"""),36.55)</f>
        <v>36.55</v>
      </c>
      <c r="F1915" s="1">
        <f>IFERROR(__xludf.DUMMYFUNCTION("""COMPUTED_VALUE"""),432502.0)</f>
        <v>432502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IFERROR(__xludf.DUMMYFUNCTION("""COMPUTED_VALUE"""),36.28)</f>
        <v>36.28</v>
      </c>
      <c r="C1916" s="1">
        <f>IFERROR(__xludf.DUMMYFUNCTION("""COMPUTED_VALUE"""),36.37)</f>
        <v>36.37</v>
      </c>
      <c r="D1916" s="1">
        <f>IFERROR(__xludf.DUMMYFUNCTION("""COMPUTED_VALUE"""),35.68)</f>
        <v>35.68</v>
      </c>
      <c r="E1916" s="1">
        <f>IFERROR(__xludf.DUMMYFUNCTION("""COMPUTED_VALUE"""),35.7)</f>
        <v>35.7</v>
      </c>
      <c r="F1916" s="1">
        <f>IFERROR(__xludf.DUMMYFUNCTION("""COMPUTED_VALUE"""),329796.0)</f>
        <v>329796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IFERROR(__xludf.DUMMYFUNCTION("""COMPUTED_VALUE"""),35.91)</f>
        <v>35.91</v>
      </c>
      <c r="C1917" s="1">
        <f>IFERROR(__xludf.DUMMYFUNCTION("""COMPUTED_VALUE"""),36.11)</f>
        <v>36.11</v>
      </c>
      <c r="D1917" s="1">
        <f>IFERROR(__xludf.DUMMYFUNCTION("""COMPUTED_VALUE"""),35.05)</f>
        <v>35.05</v>
      </c>
      <c r="E1917" s="1">
        <f>IFERROR(__xludf.DUMMYFUNCTION("""COMPUTED_VALUE"""),35.31)</f>
        <v>35.31</v>
      </c>
      <c r="F1917" s="1">
        <f>IFERROR(__xludf.DUMMYFUNCTION("""COMPUTED_VALUE"""),395446.0)</f>
        <v>395446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IFERROR(__xludf.DUMMYFUNCTION("""COMPUTED_VALUE"""),35.78)</f>
        <v>35.78</v>
      </c>
      <c r="C1918" s="1">
        <f>IFERROR(__xludf.DUMMYFUNCTION("""COMPUTED_VALUE"""),36.25)</f>
        <v>36.25</v>
      </c>
      <c r="D1918" s="1">
        <f>IFERROR(__xludf.DUMMYFUNCTION("""COMPUTED_VALUE"""),35.66)</f>
        <v>35.66</v>
      </c>
      <c r="E1918" s="1">
        <f>IFERROR(__xludf.DUMMYFUNCTION("""COMPUTED_VALUE"""),36.2)</f>
        <v>36.2</v>
      </c>
      <c r="F1918" s="1">
        <f>IFERROR(__xludf.DUMMYFUNCTION("""COMPUTED_VALUE"""),311691.0)</f>
        <v>311691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IFERROR(__xludf.DUMMYFUNCTION("""COMPUTED_VALUE"""),36.48)</f>
        <v>36.48</v>
      </c>
      <c r="C1919" s="1">
        <f>IFERROR(__xludf.DUMMYFUNCTION("""COMPUTED_VALUE"""),36.67)</f>
        <v>36.67</v>
      </c>
      <c r="D1919" s="1">
        <f>IFERROR(__xludf.DUMMYFUNCTION("""COMPUTED_VALUE"""),35.94)</f>
        <v>35.94</v>
      </c>
      <c r="E1919" s="1">
        <f>IFERROR(__xludf.DUMMYFUNCTION("""COMPUTED_VALUE"""),35.97)</f>
        <v>35.97</v>
      </c>
      <c r="F1919" s="1">
        <f>IFERROR(__xludf.DUMMYFUNCTION("""COMPUTED_VALUE"""),217840.0)</f>
        <v>217840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IFERROR(__xludf.DUMMYFUNCTION("""COMPUTED_VALUE"""),36.15)</f>
        <v>36.15</v>
      </c>
      <c r="C1920" s="1">
        <f>IFERROR(__xludf.DUMMYFUNCTION("""COMPUTED_VALUE"""),36.25)</f>
        <v>36.25</v>
      </c>
      <c r="D1920" s="1">
        <f>IFERROR(__xludf.DUMMYFUNCTION("""COMPUTED_VALUE"""),35.69)</f>
        <v>35.69</v>
      </c>
      <c r="E1920" s="1">
        <f>IFERROR(__xludf.DUMMYFUNCTION("""COMPUTED_VALUE"""),35.91)</f>
        <v>35.91</v>
      </c>
      <c r="F1920" s="1">
        <f>IFERROR(__xludf.DUMMYFUNCTION("""COMPUTED_VALUE"""),210170.0)</f>
        <v>210170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IFERROR(__xludf.DUMMYFUNCTION("""COMPUTED_VALUE"""),35.72)</f>
        <v>35.72</v>
      </c>
      <c r="C1921" s="1">
        <f>IFERROR(__xludf.DUMMYFUNCTION("""COMPUTED_VALUE"""),35.96)</f>
        <v>35.96</v>
      </c>
      <c r="D1921" s="1">
        <f>IFERROR(__xludf.DUMMYFUNCTION("""COMPUTED_VALUE"""),34.92)</f>
        <v>34.92</v>
      </c>
      <c r="E1921" s="1">
        <f>IFERROR(__xludf.DUMMYFUNCTION("""COMPUTED_VALUE"""),34.97)</f>
        <v>34.97</v>
      </c>
      <c r="F1921" s="1">
        <f>IFERROR(__xludf.DUMMYFUNCTION("""COMPUTED_VALUE"""),587700.0)</f>
        <v>587700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IFERROR(__xludf.DUMMYFUNCTION("""COMPUTED_VALUE"""),34.6)</f>
        <v>34.6</v>
      </c>
      <c r="C1922" s="1">
        <f>IFERROR(__xludf.DUMMYFUNCTION("""COMPUTED_VALUE"""),35.14)</f>
        <v>35.14</v>
      </c>
      <c r="D1922" s="1">
        <f>IFERROR(__xludf.DUMMYFUNCTION("""COMPUTED_VALUE"""),34.5)</f>
        <v>34.5</v>
      </c>
      <c r="E1922" s="1">
        <f>IFERROR(__xludf.DUMMYFUNCTION("""COMPUTED_VALUE"""),35.06)</f>
        <v>35.06</v>
      </c>
      <c r="F1922" s="1">
        <f>IFERROR(__xludf.DUMMYFUNCTION("""COMPUTED_VALUE"""),408578.0)</f>
        <v>408578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IFERROR(__xludf.DUMMYFUNCTION("""COMPUTED_VALUE"""),34.95)</f>
        <v>34.95</v>
      </c>
      <c r="C1923" s="1">
        <f>IFERROR(__xludf.DUMMYFUNCTION("""COMPUTED_VALUE"""),34.99)</f>
        <v>34.99</v>
      </c>
      <c r="D1923" s="1">
        <f>IFERROR(__xludf.DUMMYFUNCTION("""COMPUTED_VALUE"""),34.53)</f>
        <v>34.53</v>
      </c>
      <c r="E1923" s="1">
        <f>IFERROR(__xludf.DUMMYFUNCTION("""COMPUTED_VALUE"""),34.92)</f>
        <v>34.92</v>
      </c>
      <c r="F1923" s="1">
        <f>IFERROR(__xludf.DUMMYFUNCTION("""COMPUTED_VALUE"""),334157.0)</f>
        <v>334157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IFERROR(__xludf.DUMMYFUNCTION("""COMPUTED_VALUE"""),35.15)</f>
        <v>35.15</v>
      </c>
      <c r="C1924" s="1">
        <f>IFERROR(__xludf.DUMMYFUNCTION("""COMPUTED_VALUE"""),35.41)</f>
        <v>35.41</v>
      </c>
      <c r="D1924" s="1">
        <f>IFERROR(__xludf.DUMMYFUNCTION("""COMPUTED_VALUE"""),35.05)</f>
        <v>35.05</v>
      </c>
      <c r="E1924" s="1">
        <f>IFERROR(__xludf.DUMMYFUNCTION("""COMPUTED_VALUE"""),35.29)</f>
        <v>35.29</v>
      </c>
      <c r="F1924" s="1">
        <f>IFERROR(__xludf.DUMMYFUNCTION("""COMPUTED_VALUE"""),217272.0)</f>
        <v>217272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IFERROR(__xludf.DUMMYFUNCTION("""COMPUTED_VALUE"""),34.9)</f>
        <v>34.9</v>
      </c>
      <c r="C1925" s="1">
        <f>IFERROR(__xludf.DUMMYFUNCTION("""COMPUTED_VALUE"""),35.64)</f>
        <v>35.64</v>
      </c>
      <c r="D1925" s="1">
        <f>IFERROR(__xludf.DUMMYFUNCTION("""COMPUTED_VALUE"""),34.9)</f>
        <v>34.9</v>
      </c>
      <c r="E1925" s="1">
        <f>IFERROR(__xludf.DUMMYFUNCTION("""COMPUTED_VALUE"""),35.28)</f>
        <v>35.28</v>
      </c>
      <c r="F1925" s="1">
        <f>IFERROR(__xludf.DUMMYFUNCTION("""COMPUTED_VALUE"""),194627.0)</f>
        <v>194627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IFERROR(__xludf.DUMMYFUNCTION("""COMPUTED_VALUE"""),35.41)</f>
        <v>35.41</v>
      </c>
      <c r="C1926" s="1">
        <f>IFERROR(__xludf.DUMMYFUNCTION("""COMPUTED_VALUE"""),35.63)</f>
        <v>35.63</v>
      </c>
      <c r="D1926" s="1">
        <f>IFERROR(__xludf.DUMMYFUNCTION("""COMPUTED_VALUE"""),35.2)</f>
        <v>35.2</v>
      </c>
      <c r="E1926" s="1">
        <f>IFERROR(__xludf.DUMMYFUNCTION("""COMPUTED_VALUE"""),35.48)</f>
        <v>35.48</v>
      </c>
      <c r="F1926" s="1">
        <f>IFERROR(__xludf.DUMMYFUNCTION("""COMPUTED_VALUE"""),234518.0)</f>
        <v>234518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IFERROR(__xludf.DUMMYFUNCTION("""COMPUTED_VALUE"""),35.55)</f>
        <v>35.55</v>
      </c>
      <c r="C1927" s="1">
        <f>IFERROR(__xludf.DUMMYFUNCTION("""COMPUTED_VALUE"""),35.81)</f>
        <v>35.81</v>
      </c>
      <c r="D1927" s="1">
        <f>IFERROR(__xludf.DUMMYFUNCTION("""COMPUTED_VALUE"""),35.43)</f>
        <v>35.43</v>
      </c>
      <c r="E1927" s="1">
        <f>IFERROR(__xludf.DUMMYFUNCTION("""COMPUTED_VALUE"""),35.52)</f>
        <v>35.52</v>
      </c>
      <c r="F1927" s="1">
        <f>IFERROR(__xludf.DUMMYFUNCTION("""COMPUTED_VALUE"""),214334.0)</f>
        <v>214334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IFERROR(__xludf.DUMMYFUNCTION("""COMPUTED_VALUE"""),35.61)</f>
        <v>35.61</v>
      </c>
      <c r="C1928" s="1">
        <f>IFERROR(__xludf.DUMMYFUNCTION("""COMPUTED_VALUE"""),35.79)</f>
        <v>35.79</v>
      </c>
      <c r="D1928" s="1">
        <f>IFERROR(__xludf.DUMMYFUNCTION("""COMPUTED_VALUE"""),35.29)</f>
        <v>35.29</v>
      </c>
      <c r="E1928" s="1">
        <f>IFERROR(__xludf.DUMMYFUNCTION("""COMPUTED_VALUE"""),35.58)</f>
        <v>35.58</v>
      </c>
      <c r="F1928" s="1">
        <f>IFERROR(__xludf.DUMMYFUNCTION("""COMPUTED_VALUE"""),471124.0)</f>
        <v>471124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IFERROR(__xludf.DUMMYFUNCTION("""COMPUTED_VALUE"""),35.1)</f>
        <v>35.1</v>
      </c>
      <c r="C1929" s="1">
        <f>IFERROR(__xludf.DUMMYFUNCTION("""COMPUTED_VALUE"""),35.34)</f>
        <v>35.34</v>
      </c>
      <c r="D1929" s="1">
        <f>IFERROR(__xludf.DUMMYFUNCTION("""COMPUTED_VALUE"""),34.9)</f>
        <v>34.9</v>
      </c>
      <c r="E1929" s="1">
        <f>IFERROR(__xludf.DUMMYFUNCTION("""COMPUTED_VALUE"""),35.15)</f>
        <v>35.15</v>
      </c>
      <c r="F1929" s="1">
        <f>IFERROR(__xludf.DUMMYFUNCTION("""COMPUTED_VALUE"""),427314.0)</f>
        <v>427314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IFERROR(__xludf.DUMMYFUNCTION("""COMPUTED_VALUE"""),35.05)</f>
        <v>35.05</v>
      </c>
      <c r="C1930" s="1">
        <f>IFERROR(__xludf.DUMMYFUNCTION("""COMPUTED_VALUE"""),35.37)</f>
        <v>35.37</v>
      </c>
      <c r="D1930" s="1">
        <f>IFERROR(__xludf.DUMMYFUNCTION("""COMPUTED_VALUE"""),34.86)</f>
        <v>34.86</v>
      </c>
      <c r="E1930" s="1">
        <f>IFERROR(__xludf.DUMMYFUNCTION("""COMPUTED_VALUE"""),35.14)</f>
        <v>35.14</v>
      </c>
      <c r="F1930" s="1">
        <f>IFERROR(__xludf.DUMMYFUNCTION("""COMPUTED_VALUE"""),387065.0)</f>
        <v>387065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IFERROR(__xludf.DUMMYFUNCTION("""COMPUTED_VALUE"""),35.3)</f>
        <v>35.3</v>
      </c>
      <c r="C1931" s="1">
        <f>IFERROR(__xludf.DUMMYFUNCTION("""COMPUTED_VALUE"""),35.46)</f>
        <v>35.46</v>
      </c>
      <c r="D1931" s="1">
        <f>IFERROR(__xludf.DUMMYFUNCTION("""COMPUTED_VALUE"""),35.21)</f>
        <v>35.21</v>
      </c>
      <c r="E1931" s="1">
        <f>IFERROR(__xludf.DUMMYFUNCTION("""COMPUTED_VALUE"""),35.27)</f>
        <v>35.27</v>
      </c>
      <c r="F1931" s="1">
        <f>IFERROR(__xludf.DUMMYFUNCTION("""COMPUTED_VALUE"""),298867.0)</f>
        <v>298867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IFERROR(__xludf.DUMMYFUNCTION("""COMPUTED_VALUE"""),35.34)</f>
        <v>35.34</v>
      </c>
      <c r="C1932" s="1">
        <f>IFERROR(__xludf.DUMMYFUNCTION("""COMPUTED_VALUE"""),35.67)</f>
        <v>35.67</v>
      </c>
      <c r="D1932" s="1">
        <f>IFERROR(__xludf.DUMMYFUNCTION("""COMPUTED_VALUE"""),35.25)</f>
        <v>35.25</v>
      </c>
      <c r="E1932" s="1">
        <f>IFERROR(__xludf.DUMMYFUNCTION("""COMPUTED_VALUE"""),35.58)</f>
        <v>35.58</v>
      </c>
      <c r="F1932" s="1">
        <f>IFERROR(__xludf.DUMMYFUNCTION("""COMPUTED_VALUE"""),269814.0)</f>
        <v>269814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IFERROR(__xludf.DUMMYFUNCTION("""COMPUTED_VALUE"""),35.3)</f>
        <v>35.3</v>
      </c>
      <c r="C1933" s="1">
        <f>IFERROR(__xludf.DUMMYFUNCTION("""COMPUTED_VALUE"""),35.35)</f>
        <v>35.35</v>
      </c>
      <c r="D1933" s="1">
        <f>IFERROR(__xludf.DUMMYFUNCTION("""COMPUTED_VALUE"""),34.69)</f>
        <v>34.69</v>
      </c>
      <c r="E1933" s="1">
        <f>IFERROR(__xludf.DUMMYFUNCTION("""COMPUTED_VALUE"""),34.76)</f>
        <v>34.76</v>
      </c>
      <c r="F1933" s="1">
        <f>IFERROR(__xludf.DUMMYFUNCTION("""COMPUTED_VALUE"""),356987.0)</f>
        <v>356987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IFERROR(__xludf.DUMMYFUNCTION("""COMPUTED_VALUE"""),34.93)</f>
        <v>34.93</v>
      </c>
      <c r="C1934" s="1">
        <f>IFERROR(__xludf.DUMMYFUNCTION("""COMPUTED_VALUE"""),35.2)</f>
        <v>35.2</v>
      </c>
      <c r="D1934" s="1">
        <f>IFERROR(__xludf.DUMMYFUNCTION("""COMPUTED_VALUE"""),34.8)</f>
        <v>34.8</v>
      </c>
      <c r="E1934" s="1">
        <f>IFERROR(__xludf.DUMMYFUNCTION("""COMPUTED_VALUE"""),34.94)</f>
        <v>34.94</v>
      </c>
      <c r="F1934" s="1">
        <f>IFERROR(__xludf.DUMMYFUNCTION("""COMPUTED_VALUE"""),383780.0)</f>
        <v>383780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IFERROR(__xludf.DUMMYFUNCTION("""COMPUTED_VALUE"""),34.95)</f>
        <v>34.95</v>
      </c>
      <c r="C1935" s="1">
        <f>IFERROR(__xludf.DUMMYFUNCTION("""COMPUTED_VALUE"""),34.95)</f>
        <v>34.95</v>
      </c>
      <c r="D1935" s="1">
        <f>IFERROR(__xludf.DUMMYFUNCTION("""COMPUTED_VALUE"""),34.0)</f>
        <v>34</v>
      </c>
      <c r="E1935" s="1">
        <f>IFERROR(__xludf.DUMMYFUNCTION("""COMPUTED_VALUE"""),34.31)</f>
        <v>34.31</v>
      </c>
      <c r="F1935" s="1">
        <f>IFERROR(__xludf.DUMMYFUNCTION("""COMPUTED_VALUE"""),347130.0)</f>
        <v>347130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IFERROR(__xludf.DUMMYFUNCTION("""COMPUTED_VALUE"""),34.27)</f>
        <v>34.27</v>
      </c>
      <c r="C1936" s="1">
        <f>IFERROR(__xludf.DUMMYFUNCTION("""COMPUTED_VALUE"""),35.01)</f>
        <v>35.01</v>
      </c>
      <c r="D1936" s="1">
        <f>IFERROR(__xludf.DUMMYFUNCTION("""COMPUTED_VALUE"""),34.27)</f>
        <v>34.27</v>
      </c>
      <c r="E1936" s="1">
        <f>IFERROR(__xludf.DUMMYFUNCTION("""COMPUTED_VALUE"""),34.76)</f>
        <v>34.76</v>
      </c>
      <c r="F1936" s="1">
        <f>IFERROR(__xludf.DUMMYFUNCTION("""COMPUTED_VALUE"""),662480.0)</f>
        <v>662480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IFERROR(__xludf.DUMMYFUNCTION("""COMPUTED_VALUE"""),35.27)</f>
        <v>35.27</v>
      </c>
      <c r="C1937" s="1">
        <f>IFERROR(__xludf.DUMMYFUNCTION("""COMPUTED_VALUE"""),35.84)</f>
        <v>35.84</v>
      </c>
      <c r="D1937" s="1">
        <f>IFERROR(__xludf.DUMMYFUNCTION("""COMPUTED_VALUE"""),35.09)</f>
        <v>35.09</v>
      </c>
      <c r="E1937" s="1">
        <f>IFERROR(__xludf.DUMMYFUNCTION("""COMPUTED_VALUE"""),35.65)</f>
        <v>35.65</v>
      </c>
      <c r="F1937" s="1">
        <f>IFERROR(__xludf.DUMMYFUNCTION("""COMPUTED_VALUE"""),575523.0)</f>
        <v>575523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IFERROR(__xludf.DUMMYFUNCTION("""COMPUTED_VALUE"""),35.8)</f>
        <v>35.8</v>
      </c>
      <c r="C1938" s="1">
        <f>IFERROR(__xludf.DUMMYFUNCTION("""COMPUTED_VALUE"""),36.57)</f>
        <v>36.57</v>
      </c>
      <c r="D1938" s="1">
        <f>IFERROR(__xludf.DUMMYFUNCTION("""COMPUTED_VALUE"""),35.78)</f>
        <v>35.78</v>
      </c>
      <c r="E1938" s="1">
        <f>IFERROR(__xludf.DUMMYFUNCTION("""COMPUTED_VALUE"""),36.48)</f>
        <v>36.48</v>
      </c>
      <c r="F1938" s="1">
        <f>IFERROR(__xludf.DUMMYFUNCTION("""COMPUTED_VALUE"""),334973.0)</f>
        <v>334973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IFERROR(__xludf.DUMMYFUNCTION("""COMPUTED_VALUE"""),36.41)</f>
        <v>36.41</v>
      </c>
      <c r="C1939" s="1">
        <f>IFERROR(__xludf.DUMMYFUNCTION("""COMPUTED_VALUE"""),36.84)</f>
        <v>36.84</v>
      </c>
      <c r="D1939" s="1">
        <f>IFERROR(__xludf.DUMMYFUNCTION("""COMPUTED_VALUE"""),36.24)</f>
        <v>36.24</v>
      </c>
      <c r="E1939" s="1">
        <f>IFERROR(__xludf.DUMMYFUNCTION("""COMPUTED_VALUE"""),36.66)</f>
        <v>36.66</v>
      </c>
      <c r="F1939" s="1">
        <f>IFERROR(__xludf.DUMMYFUNCTION("""COMPUTED_VALUE"""),307375.0)</f>
        <v>307375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IFERROR(__xludf.DUMMYFUNCTION("""COMPUTED_VALUE"""),36.64)</f>
        <v>36.64</v>
      </c>
      <c r="C1940" s="1">
        <f>IFERROR(__xludf.DUMMYFUNCTION("""COMPUTED_VALUE"""),36.73)</f>
        <v>36.73</v>
      </c>
      <c r="D1940" s="1">
        <f>IFERROR(__xludf.DUMMYFUNCTION("""COMPUTED_VALUE"""),36.23)</f>
        <v>36.23</v>
      </c>
      <c r="E1940" s="1">
        <f>IFERROR(__xludf.DUMMYFUNCTION("""COMPUTED_VALUE"""),36.48)</f>
        <v>36.48</v>
      </c>
      <c r="F1940" s="1">
        <f>IFERROR(__xludf.DUMMYFUNCTION("""COMPUTED_VALUE"""),488881.0)</f>
        <v>488881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IFERROR(__xludf.DUMMYFUNCTION("""COMPUTED_VALUE"""),36.48)</f>
        <v>36.48</v>
      </c>
      <c r="C1941" s="1">
        <f>IFERROR(__xludf.DUMMYFUNCTION("""COMPUTED_VALUE"""),36.85)</f>
        <v>36.85</v>
      </c>
      <c r="D1941" s="1">
        <f>IFERROR(__xludf.DUMMYFUNCTION("""COMPUTED_VALUE"""),36.25)</f>
        <v>36.25</v>
      </c>
      <c r="E1941" s="1">
        <f>IFERROR(__xludf.DUMMYFUNCTION("""COMPUTED_VALUE"""),36.59)</f>
        <v>36.59</v>
      </c>
      <c r="F1941" s="1">
        <f>IFERROR(__xludf.DUMMYFUNCTION("""COMPUTED_VALUE"""),652570.0)</f>
        <v>652570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IFERROR(__xludf.DUMMYFUNCTION("""COMPUTED_VALUE"""),36.69)</f>
        <v>36.69</v>
      </c>
      <c r="C1942" s="1">
        <f>IFERROR(__xludf.DUMMYFUNCTION("""COMPUTED_VALUE"""),37.13)</f>
        <v>37.13</v>
      </c>
      <c r="D1942" s="1">
        <f>IFERROR(__xludf.DUMMYFUNCTION("""COMPUTED_VALUE"""),36.65)</f>
        <v>36.65</v>
      </c>
      <c r="E1942" s="1">
        <f>IFERROR(__xludf.DUMMYFUNCTION("""COMPUTED_VALUE"""),37.04)</f>
        <v>37.04</v>
      </c>
      <c r="F1942" s="1">
        <f>IFERROR(__xludf.DUMMYFUNCTION("""COMPUTED_VALUE"""),313656.0)</f>
        <v>313656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IFERROR(__xludf.DUMMYFUNCTION("""COMPUTED_VALUE"""),36.93)</f>
        <v>36.93</v>
      </c>
      <c r="C1943" s="1">
        <f>IFERROR(__xludf.DUMMYFUNCTION("""COMPUTED_VALUE"""),37.48)</f>
        <v>37.48</v>
      </c>
      <c r="D1943" s="1">
        <f>IFERROR(__xludf.DUMMYFUNCTION("""COMPUTED_VALUE"""),36.93)</f>
        <v>36.93</v>
      </c>
      <c r="E1943" s="1">
        <f>IFERROR(__xludf.DUMMYFUNCTION("""COMPUTED_VALUE"""),37.26)</f>
        <v>37.26</v>
      </c>
      <c r="F1943" s="1">
        <f>IFERROR(__xludf.DUMMYFUNCTION("""COMPUTED_VALUE"""),305135.0)</f>
        <v>305135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IFERROR(__xludf.DUMMYFUNCTION("""COMPUTED_VALUE"""),37.11)</f>
        <v>37.11</v>
      </c>
      <c r="C1944" s="1">
        <f>IFERROR(__xludf.DUMMYFUNCTION("""COMPUTED_VALUE"""),37.99)</f>
        <v>37.99</v>
      </c>
      <c r="D1944" s="1">
        <f>IFERROR(__xludf.DUMMYFUNCTION("""COMPUTED_VALUE"""),36.88)</f>
        <v>36.88</v>
      </c>
      <c r="E1944" s="1">
        <f>IFERROR(__xludf.DUMMYFUNCTION("""COMPUTED_VALUE"""),37.86)</f>
        <v>37.86</v>
      </c>
      <c r="F1944" s="1">
        <f>IFERROR(__xludf.DUMMYFUNCTION("""COMPUTED_VALUE"""),334319.0)</f>
        <v>334319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IFERROR(__xludf.DUMMYFUNCTION("""COMPUTED_VALUE"""),37.94)</f>
        <v>37.94</v>
      </c>
      <c r="C1945" s="1">
        <f>IFERROR(__xludf.DUMMYFUNCTION("""COMPUTED_VALUE"""),38.25)</f>
        <v>38.25</v>
      </c>
      <c r="D1945" s="1">
        <f>IFERROR(__xludf.DUMMYFUNCTION("""COMPUTED_VALUE"""),37.73)</f>
        <v>37.73</v>
      </c>
      <c r="E1945" s="1">
        <f>IFERROR(__xludf.DUMMYFUNCTION("""COMPUTED_VALUE"""),37.77)</f>
        <v>37.77</v>
      </c>
      <c r="F1945" s="1">
        <f>IFERROR(__xludf.DUMMYFUNCTION("""COMPUTED_VALUE"""),257927.0)</f>
        <v>257927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IFERROR(__xludf.DUMMYFUNCTION("""COMPUTED_VALUE"""),37.58)</f>
        <v>37.58</v>
      </c>
      <c r="C1946" s="1">
        <f>IFERROR(__xludf.DUMMYFUNCTION("""COMPUTED_VALUE"""),38.12)</f>
        <v>38.12</v>
      </c>
      <c r="D1946" s="1">
        <f>IFERROR(__xludf.DUMMYFUNCTION("""COMPUTED_VALUE"""),37.55)</f>
        <v>37.55</v>
      </c>
      <c r="E1946" s="1">
        <f>IFERROR(__xludf.DUMMYFUNCTION("""COMPUTED_VALUE"""),38.0)</f>
        <v>38</v>
      </c>
      <c r="F1946" s="1">
        <f>IFERROR(__xludf.DUMMYFUNCTION("""COMPUTED_VALUE"""),298975.0)</f>
        <v>298975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IFERROR(__xludf.DUMMYFUNCTION("""COMPUTED_VALUE"""),37.99)</f>
        <v>37.99</v>
      </c>
      <c r="C1947" s="1">
        <f>IFERROR(__xludf.DUMMYFUNCTION("""COMPUTED_VALUE"""),38.42)</f>
        <v>38.42</v>
      </c>
      <c r="D1947" s="1">
        <f>IFERROR(__xludf.DUMMYFUNCTION("""COMPUTED_VALUE"""),37.83)</f>
        <v>37.83</v>
      </c>
      <c r="E1947" s="1">
        <f>IFERROR(__xludf.DUMMYFUNCTION("""COMPUTED_VALUE"""),38.25)</f>
        <v>38.25</v>
      </c>
      <c r="F1947" s="1">
        <f>IFERROR(__xludf.DUMMYFUNCTION("""COMPUTED_VALUE"""),291929.0)</f>
        <v>291929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IFERROR(__xludf.DUMMYFUNCTION("""COMPUTED_VALUE"""),38.24)</f>
        <v>38.24</v>
      </c>
      <c r="C1948" s="1">
        <f>IFERROR(__xludf.DUMMYFUNCTION("""COMPUTED_VALUE"""),38.69)</f>
        <v>38.69</v>
      </c>
      <c r="D1948" s="1">
        <f>IFERROR(__xludf.DUMMYFUNCTION("""COMPUTED_VALUE"""),38.14)</f>
        <v>38.14</v>
      </c>
      <c r="E1948" s="1">
        <f>IFERROR(__xludf.DUMMYFUNCTION("""COMPUTED_VALUE"""),38.55)</f>
        <v>38.55</v>
      </c>
      <c r="F1948" s="1">
        <f>IFERROR(__xludf.DUMMYFUNCTION("""COMPUTED_VALUE"""),194312.0)</f>
        <v>194312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IFERROR(__xludf.DUMMYFUNCTION("""COMPUTED_VALUE"""),39.0)</f>
        <v>39</v>
      </c>
      <c r="C1949" s="1">
        <f>IFERROR(__xludf.DUMMYFUNCTION("""COMPUTED_VALUE"""),40.1)</f>
        <v>40.1</v>
      </c>
      <c r="D1949" s="1">
        <f>IFERROR(__xludf.DUMMYFUNCTION("""COMPUTED_VALUE"""),38.82)</f>
        <v>38.82</v>
      </c>
      <c r="E1949" s="1">
        <f>IFERROR(__xludf.DUMMYFUNCTION("""COMPUTED_VALUE"""),39.98)</f>
        <v>39.98</v>
      </c>
      <c r="F1949" s="1">
        <f>IFERROR(__xludf.DUMMYFUNCTION("""COMPUTED_VALUE"""),704135.0)</f>
        <v>704135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IFERROR(__xludf.DUMMYFUNCTION("""COMPUTED_VALUE"""),40.07)</f>
        <v>40.07</v>
      </c>
      <c r="C1950" s="1">
        <f>IFERROR(__xludf.DUMMYFUNCTION("""COMPUTED_VALUE"""),40.25)</f>
        <v>40.25</v>
      </c>
      <c r="D1950" s="1">
        <f>IFERROR(__xludf.DUMMYFUNCTION("""COMPUTED_VALUE"""),39.57)</f>
        <v>39.57</v>
      </c>
      <c r="E1950" s="1">
        <f>IFERROR(__xludf.DUMMYFUNCTION("""COMPUTED_VALUE"""),40.22)</f>
        <v>40.22</v>
      </c>
      <c r="F1950" s="1">
        <f>IFERROR(__xludf.DUMMYFUNCTION("""COMPUTED_VALUE"""),424906.0)</f>
        <v>424906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IFERROR(__xludf.DUMMYFUNCTION("""COMPUTED_VALUE"""),40.23)</f>
        <v>40.23</v>
      </c>
      <c r="C1951" s="1">
        <f>IFERROR(__xludf.DUMMYFUNCTION("""COMPUTED_VALUE"""),40.89)</f>
        <v>40.89</v>
      </c>
      <c r="D1951" s="1">
        <f>IFERROR(__xludf.DUMMYFUNCTION("""COMPUTED_VALUE"""),40.2)</f>
        <v>40.2</v>
      </c>
      <c r="E1951" s="1">
        <f>IFERROR(__xludf.DUMMYFUNCTION("""COMPUTED_VALUE"""),40.2)</f>
        <v>40.2</v>
      </c>
      <c r="F1951" s="1">
        <f>IFERROR(__xludf.DUMMYFUNCTION("""COMPUTED_VALUE"""),369471.0)</f>
        <v>369471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IFERROR(__xludf.DUMMYFUNCTION("""COMPUTED_VALUE"""),40.29)</f>
        <v>40.29</v>
      </c>
      <c r="C1952" s="1">
        <f>IFERROR(__xludf.DUMMYFUNCTION("""COMPUTED_VALUE"""),40.99)</f>
        <v>40.99</v>
      </c>
      <c r="D1952" s="1">
        <f>IFERROR(__xludf.DUMMYFUNCTION("""COMPUTED_VALUE"""),39.94)</f>
        <v>39.94</v>
      </c>
      <c r="E1952" s="1">
        <f>IFERROR(__xludf.DUMMYFUNCTION("""COMPUTED_VALUE"""),40.99)</f>
        <v>40.99</v>
      </c>
      <c r="F1952" s="1">
        <f>IFERROR(__xludf.DUMMYFUNCTION("""COMPUTED_VALUE"""),487542.0)</f>
        <v>487542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IFERROR(__xludf.DUMMYFUNCTION("""COMPUTED_VALUE"""),40.87)</f>
        <v>40.87</v>
      </c>
      <c r="C1953" s="1">
        <f>IFERROR(__xludf.DUMMYFUNCTION("""COMPUTED_VALUE"""),41.11)</f>
        <v>41.11</v>
      </c>
      <c r="D1953" s="1">
        <f>IFERROR(__xludf.DUMMYFUNCTION("""COMPUTED_VALUE"""),40.57)</f>
        <v>40.57</v>
      </c>
      <c r="E1953" s="1">
        <f>IFERROR(__xludf.DUMMYFUNCTION("""COMPUTED_VALUE"""),41.0)</f>
        <v>41</v>
      </c>
      <c r="F1953" s="1">
        <f>IFERROR(__xludf.DUMMYFUNCTION("""COMPUTED_VALUE"""),357977.0)</f>
        <v>357977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IFERROR(__xludf.DUMMYFUNCTION("""COMPUTED_VALUE"""),40.99)</f>
        <v>40.99</v>
      </c>
      <c r="C1954" s="1">
        <f>IFERROR(__xludf.DUMMYFUNCTION("""COMPUTED_VALUE"""),40.99)</f>
        <v>40.99</v>
      </c>
      <c r="D1954" s="1">
        <f>IFERROR(__xludf.DUMMYFUNCTION("""COMPUTED_VALUE"""),40.03)</f>
        <v>40.03</v>
      </c>
      <c r="E1954" s="1">
        <f>IFERROR(__xludf.DUMMYFUNCTION("""COMPUTED_VALUE"""),40.09)</f>
        <v>40.09</v>
      </c>
      <c r="F1954" s="1">
        <f>IFERROR(__xludf.DUMMYFUNCTION("""COMPUTED_VALUE"""),262255.0)</f>
        <v>262255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IFERROR(__xludf.DUMMYFUNCTION("""COMPUTED_VALUE"""),40.3)</f>
        <v>40.3</v>
      </c>
      <c r="C1955" s="1">
        <f>IFERROR(__xludf.DUMMYFUNCTION("""COMPUTED_VALUE"""),40.82)</f>
        <v>40.82</v>
      </c>
      <c r="D1955" s="1">
        <f>IFERROR(__xludf.DUMMYFUNCTION("""COMPUTED_VALUE"""),39.97)</f>
        <v>39.97</v>
      </c>
      <c r="E1955" s="1">
        <f>IFERROR(__xludf.DUMMYFUNCTION("""COMPUTED_VALUE"""),40.61)</f>
        <v>40.61</v>
      </c>
      <c r="F1955" s="1">
        <f>IFERROR(__xludf.DUMMYFUNCTION("""COMPUTED_VALUE"""),238933.0)</f>
        <v>238933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IFERROR(__xludf.DUMMYFUNCTION("""COMPUTED_VALUE"""),40.89)</f>
        <v>40.89</v>
      </c>
      <c r="C1956" s="1">
        <f>IFERROR(__xludf.DUMMYFUNCTION("""COMPUTED_VALUE"""),41.04)</f>
        <v>41.04</v>
      </c>
      <c r="D1956" s="1">
        <f>IFERROR(__xludf.DUMMYFUNCTION("""COMPUTED_VALUE"""),40.35)</f>
        <v>40.35</v>
      </c>
      <c r="E1956" s="1">
        <f>IFERROR(__xludf.DUMMYFUNCTION("""COMPUTED_VALUE"""),40.68)</f>
        <v>40.68</v>
      </c>
      <c r="F1956" s="1">
        <f>IFERROR(__xludf.DUMMYFUNCTION("""COMPUTED_VALUE"""),234434.0)</f>
        <v>234434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IFERROR(__xludf.DUMMYFUNCTION("""COMPUTED_VALUE"""),40.85)</f>
        <v>40.85</v>
      </c>
      <c r="C1957" s="1">
        <f>IFERROR(__xludf.DUMMYFUNCTION("""COMPUTED_VALUE"""),40.85)</f>
        <v>40.85</v>
      </c>
      <c r="D1957" s="1">
        <f>IFERROR(__xludf.DUMMYFUNCTION("""COMPUTED_VALUE"""),40.42)</f>
        <v>40.42</v>
      </c>
      <c r="E1957" s="1">
        <f>IFERROR(__xludf.DUMMYFUNCTION("""COMPUTED_VALUE"""),40.56)</f>
        <v>40.56</v>
      </c>
      <c r="F1957" s="1">
        <f>IFERROR(__xludf.DUMMYFUNCTION("""COMPUTED_VALUE"""),141432.0)</f>
        <v>141432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IFERROR(__xludf.DUMMYFUNCTION("""COMPUTED_VALUE"""),40.7)</f>
        <v>40.7</v>
      </c>
      <c r="C1958" s="1">
        <f>IFERROR(__xludf.DUMMYFUNCTION("""COMPUTED_VALUE"""),41.0)</f>
        <v>41</v>
      </c>
      <c r="D1958" s="1">
        <f>IFERROR(__xludf.DUMMYFUNCTION("""COMPUTED_VALUE"""),40.63)</f>
        <v>40.63</v>
      </c>
      <c r="E1958" s="1">
        <f>IFERROR(__xludf.DUMMYFUNCTION("""COMPUTED_VALUE"""),41.0)</f>
        <v>41</v>
      </c>
      <c r="F1958" s="1">
        <f>IFERROR(__xludf.DUMMYFUNCTION("""COMPUTED_VALUE"""),241540.0)</f>
        <v>241540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IFERROR(__xludf.DUMMYFUNCTION("""COMPUTED_VALUE"""),41.01)</f>
        <v>41.01</v>
      </c>
      <c r="C1959" s="1">
        <f>IFERROR(__xludf.DUMMYFUNCTION("""COMPUTED_VALUE"""),41.08)</f>
        <v>41.08</v>
      </c>
      <c r="D1959" s="1">
        <f>IFERROR(__xludf.DUMMYFUNCTION("""COMPUTED_VALUE"""),40.61)</f>
        <v>40.61</v>
      </c>
      <c r="E1959" s="1">
        <f>IFERROR(__xludf.DUMMYFUNCTION("""COMPUTED_VALUE"""),40.78)</f>
        <v>40.78</v>
      </c>
      <c r="F1959" s="1">
        <f>IFERROR(__xludf.DUMMYFUNCTION("""COMPUTED_VALUE"""),284198.0)</f>
        <v>284198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IFERROR(__xludf.DUMMYFUNCTION("""COMPUTED_VALUE"""),40.94)</f>
        <v>40.94</v>
      </c>
      <c r="C1960" s="1">
        <f>IFERROR(__xludf.DUMMYFUNCTION("""COMPUTED_VALUE"""),40.94)</f>
        <v>40.94</v>
      </c>
      <c r="D1960" s="1">
        <f>IFERROR(__xludf.DUMMYFUNCTION("""COMPUTED_VALUE"""),40.38)</f>
        <v>40.38</v>
      </c>
      <c r="E1960" s="1">
        <f>IFERROR(__xludf.DUMMYFUNCTION("""COMPUTED_VALUE"""),40.44)</f>
        <v>40.44</v>
      </c>
      <c r="F1960" s="1">
        <f>IFERROR(__xludf.DUMMYFUNCTION("""COMPUTED_VALUE"""),159218.0)</f>
        <v>159218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IFERROR(__xludf.DUMMYFUNCTION("""COMPUTED_VALUE"""),40.32)</f>
        <v>40.32</v>
      </c>
      <c r="C1961" s="1">
        <f>IFERROR(__xludf.DUMMYFUNCTION("""COMPUTED_VALUE"""),40.68)</f>
        <v>40.68</v>
      </c>
      <c r="D1961" s="1">
        <f>IFERROR(__xludf.DUMMYFUNCTION("""COMPUTED_VALUE"""),39.82)</f>
        <v>39.82</v>
      </c>
      <c r="E1961" s="1">
        <f>IFERROR(__xludf.DUMMYFUNCTION("""COMPUTED_VALUE"""),40.28)</f>
        <v>40.28</v>
      </c>
      <c r="F1961" s="1">
        <f>IFERROR(__xludf.DUMMYFUNCTION("""COMPUTED_VALUE"""),332223.0)</f>
        <v>332223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IFERROR(__xludf.DUMMYFUNCTION("""COMPUTED_VALUE"""),40.25)</f>
        <v>40.25</v>
      </c>
      <c r="C1962" s="1">
        <f>IFERROR(__xludf.DUMMYFUNCTION("""COMPUTED_VALUE"""),40.93)</f>
        <v>40.93</v>
      </c>
      <c r="D1962" s="1">
        <f>IFERROR(__xludf.DUMMYFUNCTION("""COMPUTED_VALUE"""),40.25)</f>
        <v>40.25</v>
      </c>
      <c r="E1962" s="1">
        <f>IFERROR(__xludf.DUMMYFUNCTION("""COMPUTED_VALUE"""),40.67)</f>
        <v>40.67</v>
      </c>
      <c r="F1962" s="1">
        <f>IFERROR(__xludf.DUMMYFUNCTION("""COMPUTED_VALUE"""),262834.0)</f>
        <v>262834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IFERROR(__xludf.DUMMYFUNCTION("""COMPUTED_VALUE"""),40.93)</f>
        <v>40.93</v>
      </c>
      <c r="C1963" s="1">
        <f>IFERROR(__xludf.DUMMYFUNCTION("""COMPUTED_VALUE"""),40.93)</f>
        <v>40.93</v>
      </c>
      <c r="D1963" s="1">
        <f>IFERROR(__xludf.DUMMYFUNCTION("""COMPUTED_VALUE"""),40.13)</f>
        <v>40.13</v>
      </c>
      <c r="E1963" s="1">
        <f>IFERROR(__xludf.DUMMYFUNCTION("""COMPUTED_VALUE"""),40.22)</f>
        <v>40.22</v>
      </c>
      <c r="F1963" s="1">
        <f>IFERROR(__xludf.DUMMYFUNCTION("""COMPUTED_VALUE"""),193619.0)</f>
        <v>193619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IFERROR(__xludf.DUMMYFUNCTION("""COMPUTED_VALUE"""),40.41)</f>
        <v>40.41</v>
      </c>
      <c r="C1964" s="1">
        <f>IFERROR(__xludf.DUMMYFUNCTION("""COMPUTED_VALUE"""),41.01)</f>
        <v>41.01</v>
      </c>
      <c r="D1964" s="1">
        <f>IFERROR(__xludf.DUMMYFUNCTION("""COMPUTED_VALUE"""),40.26)</f>
        <v>40.26</v>
      </c>
      <c r="E1964" s="1">
        <f>IFERROR(__xludf.DUMMYFUNCTION("""COMPUTED_VALUE"""),40.69)</f>
        <v>40.69</v>
      </c>
      <c r="F1964" s="1">
        <f>IFERROR(__xludf.DUMMYFUNCTION("""COMPUTED_VALUE"""),296851.0)</f>
        <v>296851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IFERROR(__xludf.DUMMYFUNCTION("""COMPUTED_VALUE"""),40.28)</f>
        <v>40.28</v>
      </c>
      <c r="C1965" s="1">
        <f>IFERROR(__xludf.DUMMYFUNCTION("""COMPUTED_VALUE"""),40.87)</f>
        <v>40.87</v>
      </c>
      <c r="D1965" s="1">
        <f>IFERROR(__xludf.DUMMYFUNCTION("""COMPUTED_VALUE"""),40.18)</f>
        <v>40.18</v>
      </c>
      <c r="E1965" s="1">
        <f>IFERROR(__xludf.DUMMYFUNCTION("""COMPUTED_VALUE"""),40.75)</f>
        <v>40.75</v>
      </c>
      <c r="F1965" s="1">
        <f>IFERROR(__xludf.DUMMYFUNCTION("""COMPUTED_VALUE"""),325523.0)</f>
        <v>325523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IFERROR(__xludf.DUMMYFUNCTION("""COMPUTED_VALUE"""),41.28)</f>
        <v>41.28</v>
      </c>
      <c r="C1966" s="1">
        <f>IFERROR(__xludf.DUMMYFUNCTION("""COMPUTED_VALUE"""),41.28)</f>
        <v>41.28</v>
      </c>
      <c r="D1966" s="1">
        <f>IFERROR(__xludf.DUMMYFUNCTION("""COMPUTED_VALUE"""),40.87)</f>
        <v>40.87</v>
      </c>
      <c r="E1966" s="1">
        <f>IFERROR(__xludf.DUMMYFUNCTION("""COMPUTED_VALUE"""),41.05)</f>
        <v>41.05</v>
      </c>
      <c r="F1966" s="1">
        <f>IFERROR(__xludf.DUMMYFUNCTION("""COMPUTED_VALUE"""),391246.0)</f>
        <v>391246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IFERROR(__xludf.DUMMYFUNCTION("""COMPUTED_VALUE"""),41.1)</f>
        <v>41.1</v>
      </c>
      <c r="C1967" s="1">
        <f>IFERROR(__xludf.DUMMYFUNCTION("""COMPUTED_VALUE"""),41.1)</f>
        <v>41.1</v>
      </c>
      <c r="D1967" s="1">
        <f>IFERROR(__xludf.DUMMYFUNCTION("""COMPUTED_VALUE"""),40.51)</f>
        <v>40.51</v>
      </c>
      <c r="E1967" s="1">
        <f>IFERROR(__xludf.DUMMYFUNCTION("""COMPUTED_VALUE"""),40.63)</f>
        <v>40.63</v>
      </c>
      <c r="F1967" s="1">
        <f>IFERROR(__xludf.DUMMYFUNCTION("""COMPUTED_VALUE"""),245904.0)</f>
        <v>245904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IFERROR(__xludf.DUMMYFUNCTION("""COMPUTED_VALUE"""),40.8)</f>
        <v>40.8</v>
      </c>
      <c r="C1968" s="1">
        <f>IFERROR(__xludf.DUMMYFUNCTION("""COMPUTED_VALUE"""),41.24)</f>
        <v>41.24</v>
      </c>
      <c r="D1968" s="1">
        <f>IFERROR(__xludf.DUMMYFUNCTION("""COMPUTED_VALUE"""),40.71)</f>
        <v>40.71</v>
      </c>
      <c r="E1968" s="1">
        <f>IFERROR(__xludf.DUMMYFUNCTION("""COMPUTED_VALUE"""),41.06)</f>
        <v>41.06</v>
      </c>
      <c r="F1968" s="1">
        <f>IFERROR(__xludf.DUMMYFUNCTION("""COMPUTED_VALUE"""),517679.0)</f>
        <v>517679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IFERROR(__xludf.DUMMYFUNCTION("""COMPUTED_VALUE"""),41.38)</f>
        <v>41.38</v>
      </c>
      <c r="C1969" s="1">
        <f>IFERROR(__xludf.DUMMYFUNCTION("""COMPUTED_VALUE"""),41.38)</f>
        <v>41.38</v>
      </c>
      <c r="D1969" s="1">
        <f>IFERROR(__xludf.DUMMYFUNCTION("""COMPUTED_VALUE"""),40.34)</f>
        <v>40.34</v>
      </c>
      <c r="E1969" s="1">
        <f>IFERROR(__xludf.DUMMYFUNCTION("""COMPUTED_VALUE"""),41.07)</f>
        <v>41.07</v>
      </c>
      <c r="F1969" s="1">
        <f>IFERROR(__xludf.DUMMYFUNCTION("""COMPUTED_VALUE"""),488372.0)</f>
        <v>488372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IFERROR(__xludf.DUMMYFUNCTION("""COMPUTED_VALUE"""),41.38)</f>
        <v>41.38</v>
      </c>
      <c r="C1970" s="1">
        <f>IFERROR(__xludf.DUMMYFUNCTION("""COMPUTED_VALUE"""),42.64)</f>
        <v>42.64</v>
      </c>
      <c r="D1970" s="1">
        <f>IFERROR(__xludf.DUMMYFUNCTION("""COMPUTED_VALUE"""),41.18)</f>
        <v>41.18</v>
      </c>
      <c r="E1970" s="1">
        <f>IFERROR(__xludf.DUMMYFUNCTION("""COMPUTED_VALUE"""),41.83)</f>
        <v>41.83</v>
      </c>
      <c r="F1970" s="1">
        <f>IFERROR(__xludf.DUMMYFUNCTION("""COMPUTED_VALUE"""),817408.0)</f>
        <v>817408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IFERROR(__xludf.DUMMYFUNCTION("""COMPUTED_VALUE"""),41.92)</f>
        <v>41.92</v>
      </c>
      <c r="C1971" s="1">
        <f>IFERROR(__xludf.DUMMYFUNCTION("""COMPUTED_VALUE"""),42.46)</f>
        <v>42.46</v>
      </c>
      <c r="D1971" s="1">
        <f>IFERROR(__xludf.DUMMYFUNCTION("""COMPUTED_VALUE"""),41.67)</f>
        <v>41.67</v>
      </c>
      <c r="E1971" s="1">
        <f>IFERROR(__xludf.DUMMYFUNCTION("""COMPUTED_VALUE"""),42.32)</f>
        <v>42.32</v>
      </c>
      <c r="F1971" s="1">
        <f>IFERROR(__xludf.DUMMYFUNCTION("""COMPUTED_VALUE"""),398968.0)</f>
        <v>398968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IFERROR(__xludf.DUMMYFUNCTION("""COMPUTED_VALUE"""),42.05)</f>
        <v>42.05</v>
      </c>
      <c r="C1972" s="1">
        <f>IFERROR(__xludf.DUMMYFUNCTION("""COMPUTED_VALUE"""),42.1)</f>
        <v>42.1</v>
      </c>
      <c r="D1972" s="1">
        <f>IFERROR(__xludf.DUMMYFUNCTION("""COMPUTED_VALUE"""),41.06)</f>
        <v>41.06</v>
      </c>
      <c r="E1972" s="1">
        <f>IFERROR(__xludf.DUMMYFUNCTION("""COMPUTED_VALUE"""),41.25)</f>
        <v>41.25</v>
      </c>
      <c r="F1972" s="1">
        <f>IFERROR(__xludf.DUMMYFUNCTION("""COMPUTED_VALUE"""),362651.0)</f>
        <v>362651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IFERROR(__xludf.DUMMYFUNCTION("""COMPUTED_VALUE"""),41.4)</f>
        <v>41.4</v>
      </c>
      <c r="C1973" s="1">
        <f>IFERROR(__xludf.DUMMYFUNCTION("""COMPUTED_VALUE"""),42.05)</f>
        <v>42.05</v>
      </c>
      <c r="D1973" s="1">
        <f>IFERROR(__xludf.DUMMYFUNCTION("""COMPUTED_VALUE"""),41.26)</f>
        <v>41.26</v>
      </c>
      <c r="E1973" s="1">
        <f>IFERROR(__xludf.DUMMYFUNCTION("""COMPUTED_VALUE"""),41.8)</f>
        <v>41.8</v>
      </c>
      <c r="F1973" s="1">
        <f>IFERROR(__xludf.DUMMYFUNCTION("""COMPUTED_VALUE"""),452165.0)</f>
        <v>452165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IFERROR(__xludf.DUMMYFUNCTION("""COMPUTED_VALUE"""),42.23)</f>
        <v>42.23</v>
      </c>
      <c r="C1974" s="1">
        <f>IFERROR(__xludf.DUMMYFUNCTION("""COMPUTED_VALUE"""),42.32)</f>
        <v>42.32</v>
      </c>
      <c r="D1974" s="1">
        <f>IFERROR(__xludf.DUMMYFUNCTION("""COMPUTED_VALUE"""),41.2)</f>
        <v>41.2</v>
      </c>
      <c r="E1974" s="1">
        <f>IFERROR(__xludf.DUMMYFUNCTION("""COMPUTED_VALUE"""),41.72)</f>
        <v>41.72</v>
      </c>
      <c r="F1974" s="1">
        <f>IFERROR(__xludf.DUMMYFUNCTION("""COMPUTED_VALUE"""),357518.0)</f>
        <v>357518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IFERROR(__xludf.DUMMYFUNCTION("""COMPUTED_VALUE"""),41.68)</f>
        <v>41.68</v>
      </c>
      <c r="C1975" s="1">
        <f>IFERROR(__xludf.DUMMYFUNCTION("""COMPUTED_VALUE"""),42.44)</f>
        <v>42.44</v>
      </c>
      <c r="D1975" s="1">
        <f>IFERROR(__xludf.DUMMYFUNCTION("""COMPUTED_VALUE"""),41.28)</f>
        <v>41.28</v>
      </c>
      <c r="E1975" s="1">
        <f>IFERROR(__xludf.DUMMYFUNCTION("""COMPUTED_VALUE"""),42.24)</f>
        <v>42.24</v>
      </c>
      <c r="F1975" s="1">
        <f>IFERROR(__xludf.DUMMYFUNCTION("""COMPUTED_VALUE"""),434375.0)</f>
        <v>434375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IFERROR(__xludf.DUMMYFUNCTION("""COMPUTED_VALUE"""),42.21)</f>
        <v>42.21</v>
      </c>
      <c r="C1976" s="1">
        <f>IFERROR(__xludf.DUMMYFUNCTION("""COMPUTED_VALUE"""),42.35)</f>
        <v>42.35</v>
      </c>
      <c r="D1976" s="1">
        <f>IFERROR(__xludf.DUMMYFUNCTION("""COMPUTED_VALUE"""),41.62)</f>
        <v>41.62</v>
      </c>
      <c r="E1976" s="1">
        <f>IFERROR(__xludf.DUMMYFUNCTION("""COMPUTED_VALUE"""),41.77)</f>
        <v>41.77</v>
      </c>
      <c r="F1976" s="1">
        <f>IFERROR(__xludf.DUMMYFUNCTION("""COMPUTED_VALUE"""),305410.0)</f>
        <v>305410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IFERROR(__xludf.DUMMYFUNCTION("""COMPUTED_VALUE"""),41.77)</f>
        <v>41.77</v>
      </c>
      <c r="C1977" s="1">
        <f>IFERROR(__xludf.DUMMYFUNCTION("""COMPUTED_VALUE"""),42.0)</f>
        <v>42</v>
      </c>
      <c r="D1977" s="1">
        <f>IFERROR(__xludf.DUMMYFUNCTION("""COMPUTED_VALUE"""),41.54)</f>
        <v>41.54</v>
      </c>
      <c r="E1977" s="1">
        <f>IFERROR(__xludf.DUMMYFUNCTION("""COMPUTED_VALUE"""),41.61)</f>
        <v>41.61</v>
      </c>
      <c r="F1977" s="1">
        <f>IFERROR(__xludf.DUMMYFUNCTION("""COMPUTED_VALUE"""),203529.0)</f>
        <v>203529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IFERROR(__xludf.DUMMYFUNCTION("""COMPUTED_VALUE"""),41.75)</f>
        <v>41.75</v>
      </c>
      <c r="C1978" s="1">
        <f>IFERROR(__xludf.DUMMYFUNCTION("""COMPUTED_VALUE"""),41.84)</f>
        <v>41.84</v>
      </c>
      <c r="D1978" s="1">
        <f>IFERROR(__xludf.DUMMYFUNCTION("""COMPUTED_VALUE"""),40.1)</f>
        <v>40.1</v>
      </c>
      <c r="E1978" s="1">
        <f>IFERROR(__xludf.DUMMYFUNCTION("""COMPUTED_VALUE"""),40.24)</f>
        <v>40.24</v>
      </c>
      <c r="F1978" s="1">
        <f>IFERROR(__xludf.DUMMYFUNCTION("""COMPUTED_VALUE"""),340057.0)</f>
        <v>340057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IFERROR(__xludf.DUMMYFUNCTION("""COMPUTED_VALUE"""),40.0)</f>
        <v>40</v>
      </c>
      <c r="C1979" s="1">
        <f>IFERROR(__xludf.DUMMYFUNCTION("""COMPUTED_VALUE"""),40.0)</f>
        <v>40</v>
      </c>
      <c r="D1979" s="1">
        <f>IFERROR(__xludf.DUMMYFUNCTION("""COMPUTED_VALUE"""),39.41)</f>
        <v>39.41</v>
      </c>
      <c r="E1979" s="1">
        <f>IFERROR(__xludf.DUMMYFUNCTION("""COMPUTED_VALUE"""),39.83)</f>
        <v>39.83</v>
      </c>
      <c r="F1979" s="1">
        <f>IFERROR(__xludf.DUMMYFUNCTION("""COMPUTED_VALUE"""),573813.0)</f>
        <v>573813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IFERROR(__xludf.DUMMYFUNCTION("""COMPUTED_VALUE"""),39.56)</f>
        <v>39.56</v>
      </c>
      <c r="C1980" s="1">
        <f>IFERROR(__xludf.DUMMYFUNCTION("""COMPUTED_VALUE"""),40.11)</f>
        <v>40.11</v>
      </c>
      <c r="D1980" s="1">
        <f>IFERROR(__xludf.DUMMYFUNCTION("""COMPUTED_VALUE"""),39.03)</f>
        <v>39.03</v>
      </c>
      <c r="E1980" s="1">
        <f>IFERROR(__xludf.DUMMYFUNCTION("""COMPUTED_VALUE"""),39.53)</f>
        <v>39.53</v>
      </c>
      <c r="F1980" s="1">
        <f>IFERROR(__xludf.DUMMYFUNCTION("""COMPUTED_VALUE"""),306215.0)</f>
        <v>306215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IFERROR(__xludf.DUMMYFUNCTION("""COMPUTED_VALUE"""),39.56)</f>
        <v>39.56</v>
      </c>
      <c r="C1981" s="1">
        <f>IFERROR(__xludf.DUMMYFUNCTION("""COMPUTED_VALUE"""),39.69)</f>
        <v>39.69</v>
      </c>
      <c r="D1981" s="1">
        <f>IFERROR(__xludf.DUMMYFUNCTION("""COMPUTED_VALUE"""),39.23)</f>
        <v>39.23</v>
      </c>
      <c r="E1981" s="1">
        <f>IFERROR(__xludf.DUMMYFUNCTION("""COMPUTED_VALUE"""),39.31)</f>
        <v>39.31</v>
      </c>
      <c r="F1981" s="1">
        <f>IFERROR(__xludf.DUMMYFUNCTION("""COMPUTED_VALUE"""),220904.0)</f>
        <v>220904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IFERROR(__xludf.DUMMYFUNCTION("""COMPUTED_VALUE"""),38.92)</f>
        <v>38.92</v>
      </c>
      <c r="C1982" s="1">
        <f>IFERROR(__xludf.DUMMYFUNCTION("""COMPUTED_VALUE"""),40.02)</f>
        <v>40.02</v>
      </c>
      <c r="D1982" s="1">
        <f>IFERROR(__xludf.DUMMYFUNCTION("""COMPUTED_VALUE"""),38.75)</f>
        <v>38.75</v>
      </c>
      <c r="E1982" s="1">
        <f>IFERROR(__xludf.DUMMYFUNCTION("""COMPUTED_VALUE"""),40.0)</f>
        <v>40</v>
      </c>
      <c r="F1982" s="1">
        <f>IFERROR(__xludf.DUMMYFUNCTION("""COMPUTED_VALUE"""),373274.0)</f>
        <v>373274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IFERROR(__xludf.DUMMYFUNCTION("""COMPUTED_VALUE"""),39.63)</f>
        <v>39.63</v>
      </c>
      <c r="C1983" s="1">
        <f>IFERROR(__xludf.DUMMYFUNCTION("""COMPUTED_VALUE"""),40.16)</f>
        <v>40.16</v>
      </c>
      <c r="D1983" s="1">
        <f>IFERROR(__xludf.DUMMYFUNCTION("""COMPUTED_VALUE"""),39.63)</f>
        <v>39.63</v>
      </c>
      <c r="E1983" s="1">
        <f>IFERROR(__xludf.DUMMYFUNCTION("""COMPUTED_VALUE"""),40.07)</f>
        <v>40.07</v>
      </c>
      <c r="F1983" s="1">
        <f>IFERROR(__xludf.DUMMYFUNCTION("""COMPUTED_VALUE"""),166751.0)</f>
        <v>166751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IFERROR(__xludf.DUMMYFUNCTION("""COMPUTED_VALUE"""),39.56)</f>
        <v>39.56</v>
      </c>
      <c r="C1984" s="1">
        <f>IFERROR(__xludf.DUMMYFUNCTION("""COMPUTED_VALUE"""),40.36)</f>
        <v>40.36</v>
      </c>
      <c r="D1984" s="1">
        <f>IFERROR(__xludf.DUMMYFUNCTION("""COMPUTED_VALUE"""),39.23)</f>
        <v>39.23</v>
      </c>
      <c r="E1984" s="1">
        <f>IFERROR(__xludf.DUMMYFUNCTION("""COMPUTED_VALUE"""),40.11)</f>
        <v>40.11</v>
      </c>
      <c r="F1984" s="1">
        <f>IFERROR(__xludf.DUMMYFUNCTION("""COMPUTED_VALUE"""),259414.0)</f>
        <v>259414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IFERROR(__xludf.DUMMYFUNCTION("""COMPUTED_VALUE"""),40.38)</f>
        <v>40.38</v>
      </c>
      <c r="C1985" s="1">
        <f>IFERROR(__xludf.DUMMYFUNCTION("""COMPUTED_VALUE"""),40.73)</f>
        <v>40.73</v>
      </c>
      <c r="D1985" s="1">
        <f>IFERROR(__xludf.DUMMYFUNCTION("""COMPUTED_VALUE"""),39.96)</f>
        <v>39.96</v>
      </c>
      <c r="E1985" s="1">
        <f>IFERROR(__xludf.DUMMYFUNCTION("""COMPUTED_VALUE"""),40.67)</f>
        <v>40.67</v>
      </c>
      <c r="F1985" s="1">
        <f>IFERROR(__xludf.DUMMYFUNCTION("""COMPUTED_VALUE"""),474841.0)</f>
        <v>474841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IFERROR(__xludf.DUMMYFUNCTION("""COMPUTED_VALUE"""),40.4)</f>
        <v>40.4</v>
      </c>
      <c r="C1986" s="1">
        <f>IFERROR(__xludf.DUMMYFUNCTION("""COMPUTED_VALUE"""),41.27)</f>
        <v>41.27</v>
      </c>
      <c r="D1986" s="1">
        <f>IFERROR(__xludf.DUMMYFUNCTION("""COMPUTED_VALUE"""),40.21)</f>
        <v>40.21</v>
      </c>
      <c r="E1986" s="1">
        <f>IFERROR(__xludf.DUMMYFUNCTION("""COMPUTED_VALUE"""),41.25)</f>
        <v>41.25</v>
      </c>
      <c r="F1986" s="1">
        <f>IFERROR(__xludf.DUMMYFUNCTION("""COMPUTED_VALUE"""),371109.0)</f>
        <v>371109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IFERROR(__xludf.DUMMYFUNCTION("""COMPUTED_VALUE"""),41.25)</f>
        <v>41.25</v>
      </c>
      <c r="C1987" s="1">
        <f>IFERROR(__xludf.DUMMYFUNCTION("""COMPUTED_VALUE"""),42.05)</f>
        <v>42.05</v>
      </c>
      <c r="D1987" s="1">
        <f>IFERROR(__xludf.DUMMYFUNCTION("""COMPUTED_VALUE"""),40.83)</f>
        <v>40.83</v>
      </c>
      <c r="E1987" s="1">
        <f>IFERROR(__xludf.DUMMYFUNCTION("""COMPUTED_VALUE"""),42.04)</f>
        <v>42.04</v>
      </c>
      <c r="F1987" s="1">
        <f>IFERROR(__xludf.DUMMYFUNCTION("""COMPUTED_VALUE"""),571938.0)</f>
        <v>571938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IFERROR(__xludf.DUMMYFUNCTION("""COMPUTED_VALUE"""),42.14)</f>
        <v>42.14</v>
      </c>
      <c r="C1988" s="1">
        <f>IFERROR(__xludf.DUMMYFUNCTION("""COMPUTED_VALUE"""),42.27)</f>
        <v>42.27</v>
      </c>
      <c r="D1988" s="1">
        <f>IFERROR(__xludf.DUMMYFUNCTION("""COMPUTED_VALUE"""),41.84)</f>
        <v>41.84</v>
      </c>
      <c r="E1988" s="1">
        <f>IFERROR(__xludf.DUMMYFUNCTION("""COMPUTED_VALUE"""),42.24)</f>
        <v>42.24</v>
      </c>
      <c r="F1988" s="1">
        <f>IFERROR(__xludf.DUMMYFUNCTION("""COMPUTED_VALUE"""),420754.0)</f>
        <v>420754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IFERROR(__xludf.DUMMYFUNCTION("""COMPUTED_VALUE"""),42.3)</f>
        <v>42.3</v>
      </c>
      <c r="C1989" s="1">
        <f>IFERROR(__xludf.DUMMYFUNCTION("""COMPUTED_VALUE"""),42.65)</f>
        <v>42.65</v>
      </c>
      <c r="D1989" s="1">
        <f>IFERROR(__xludf.DUMMYFUNCTION("""COMPUTED_VALUE"""),42.16)</f>
        <v>42.16</v>
      </c>
      <c r="E1989" s="1">
        <f>IFERROR(__xludf.DUMMYFUNCTION("""COMPUTED_VALUE"""),42.23)</f>
        <v>42.23</v>
      </c>
      <c r="F1989" s="1">
        <f>IFERROR(__xludf.DUMMYFUNCTION("""COMPUTED_VALUE"""),414120.0)</f>
        <v>414120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IFERROR(__xludf.DUMMYFUNCTION("""COMPUTED_VALUE"""),42.42)</f>
        <v>42.42</v>
      </c>
      <c r="C1990" s="1">
        <f>IFERROR(__xludf.DUMMYFUNCTION("""COMPUTED_VALUE"""),42.58)</f>
        <v>42.58</v>
      </c>
      <c r="D1990" s="1">
        <f>IFERROR(__xludf.DUMMYFUNCTION("""COMPUTED_VALUE"""),41.9)</f>
        <v>41.9</v>
      </c>
      <c r="E1990" s="1">
        <f>IFERROR(__xludf.DUMMYFUNCTION("""COMPUTED_VALUE"""),41.92)</f>
        <v>41.92</v>
      </c>
      <c r="F1990" s="1">
        <f>IFERROR(__xludf.DUMMYFUNCTION("""COMPUTED_VALUE"""),244937.0)</f>
        <v>244937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IFERROR(__xludf.DUMMYFUNCTION("""COMPUTED_VALUE"""),41.91)</f>
        <v>41.91</v>
      </c>
      <c r="C1991" s="1">
        <f>IFERROR(__xludf.DUMMYFUNCTION("""COMPUTED_VALUE"""),42.4)</f>
        <v>42.4</v>
      </c>
      <c r="D1991" s="1">
        <f>IFERROR(__xludf.DUMMYFUNCTION("""COMPUTED_VALUE"""),41.89)</f>
        <v>41.89</v>
      </c>
      <c r="E1991" s="1">
        <f>IFERROR(__xludf.DUMMYFUNCTION("""COMPUTED_VALUE"""),42.05)</f>
        <v>42.05</v>
      </c>
      <c r="F1991" s="1">
        <f>IFERROR(__xludf.DUMMYFUNCTION("""COMPUTED_VALUE"""),305096.0)</f>
        <v>305096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IFERROR(__xludf.DUMMYFUNCTION("""COMPUTED_VALUE"""),42.2)</f>
        <v>42.2</v>
      </c>
      <c r="C1992" s="1">
        <f>IFERROR(__xludf.DUMMYFUNCTION("""COMPUTED_VALUE"""),43.72)</f>
        <v>43.72</v>
      </c>
      <c r="D1992" s="1">
        <f>IFERROR(__xludf.DUMMYFUNCTION("""COMPUTED_VALUE"""),42.1)</f>
        <v>42.1</v>
      </c>
      <c r="E1992" s="1">
        <f>IFERROR(__xludf.DUMMYFUNCTION("""COMPUTED_VALUE"""),43.64)</f>
        <v>43.64</v>
      </c>
      <c r="F1992" s="1">
        <f>IFERROR(__xludf.DUMMYFUNCTION("""COMPUTED_VALUE"""),451757.0)</f>
        <v>451757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IFERROR(__xludf.DUMMYFUNCTION("""COMPUTED_VALUE"""),43.91)</f>
        <v>43.91</v>
      </c>
      <c r="C1993" s="1">
        <f>IFERROR(__xludf.DUMMYFUNCTION("""COMPUTED_VALUE"""),45.54)</f>
        <v>45.54</v>
      </c>
      <c r="D1993" s="1">
        <f>IFERROR(__xludf.DUMMYFUNCTION("""COMPUTED_VALUE"""),43.79)</f>
        <v>43.79</v>
      </c>
      <c r="E1993" s="1">
        <f>IFERROR(__xludf.DUMMYFUNCTION("""COMPUTED_VALUE"""),44.75)</f>
        <v>44.75</v>
      </c>
      <c r="F1993" s="1">
        <f>IFERROR(__xludf.DUMMYFUNCTION("""COMPUTED_VALUE"""),715520.0)</f>
        <v>715520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IFERROR(__xludf.DUMMYFUNCTION("""COMPUTED_VALUE"""),44.1)</f>
        <v>44.1</v>
      </c>
      <c r="C1994" s="1">
        <f>IFERROR(__xludf.DUMMYFUNCTION("""COMPUTED_VALUE"""),44.32)</f>
        <v>44.32</v>
      </c>
      <c r="D1994" s="1">
        <f>IFERROR(__xludf.DUMMYFUNCTION("""COMPUTED_VALUE"""),43.11)</f>
        <v>43.11</v>
      </c>
      <c r="E1994" s="1">
        <f>IFERROR(__xludf.DUMMYFUNCTION("""COMPUTED_VALUE"""),43.39)</f>
        <v>43.39</v>
      </c>
      <c r="F1994" s="1">
        <f>IFERROR(__xludf.DUMMYFUNCTION("""COMPUTED_VALUE"""),976967.0)</f>
        <v>976967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IFERROR(__xludf.DUMMYFUNCTION("""COMPUTED_VALUE"""),43.44)</f>
        <v>43.44</v>
      </c>
      <c r="C1995" s="1">
        <f>IFERROR(__xludf.DUMMYFUNCTION("""COMPUTED_VALUE"""),43.78)</f>
        <v>43.78</v>
      </c>
      <c r="D1995" s="1">
        <f>IFERROR(__xludf.DUMMYFUNCTION("""COMPUTED_VALUE"""),41.9)</f>
        <v>41.9</v>
      </c>
      <c r="E1995" s="1">
        <f>IFERROR(__xludf.DUMMYFUNCTION("""COMPUTED_VALUE"""),43.54)</f>
        <v>43.54</v>
      </c>
      <c r="F1995" s="1">
        <f>IFERROR(__xludf.DUMMYFUNCTION("""COMPUTED_VALUE"""),564101.0)</f>
        <v>564101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IFERROR(__xludf.DUMMYFUNCTION("""COMPUTED_VALUE"""),44.29)</f>
        <v>44.29</v>
      </c>
      <c r="C1996" s="1">
        <f>IFERROR(__xludf.DUMMYFUNCTION("""COMPUTED_VALUE"""),44.94)</f>
        <v>44.94</v>
      </c>
      <c r="D1996" s="1">
        <f>IFERROR(__xludf.DUMMYFUNCTION("""COMPUTED_VALUE"""),44.06)</f>
        <v>44.06</v>
      </c>
      <c r="E1996" s="1">
        <f>IFERROR(__xludf.DUMMYFUNCTION("""COMPUTED_VALUE"""),44.11)</f>
        <v>44.11</v>
      </c>
      <c r="F1996" s="1">
        <f>IFERROR(__xludf.DUMMYFUNCTION("""COMPUTED_VALUE"""),572680.0)</f>
        <v>572680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IFERROR(__xludf.DUMMYFUNCTION("""COMPUTED_VALUE"""),44.41)</f>
        <v>44.41</v>
      </c>
      <c r="C1997" s="1">
        <f>IFERROR(__xludf.DUMMYFUNCTION("""COMPUTED_VALUE"""),44.58)</f>
        <v>44.58</v>
      </c>
      <c r="D1997" s="1">
        <f>IFERROR(__xludf.DUMMYFUNCTION("""COMPUTED_VALUE"""),42.86)</f>
        <v>42.86</v>
      </c>
      <c r="E1997" s="1">
        <f>IFERROR(__xludf.DUMMYFUNCTION("""COMPUTED_VALUE"""),42.87)</f>
        <v>42.87</v>
      </c>
      <c r="F1997" s="1">
        <f>IFERROR(__xludf.DUMMYFUNCTION("""COMPUTED_VALUE"""),464520.0)</f>
        <v>464520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IFERROR(__xludf.DUMMYFUNCTION("""COMPUTED_VALUE"""),42.81)</f>
        <v>42.81</v>
      </c>
      <c r="C1998" s="1">
        <f>IFERROR(__xludf.DUMMYFUNCTION("""COMPUTED_VALUE"""),43.14)</f>
        <v>43.14</v>
      </c>
      <c r="D1998" s="1">
        <f>IFERROR(__xludf.DUMMYFUNCTION("""COMPUTED_VALUE"""),42.54)</f>
        <v>42.54</v>
      </c>
      <c r="E1998" s="1">
        <f>IFERROR(__xludf.DUMMYFUNCTION("""COMPUTED_VALUE"""),42.8)</f>
        <v>42.8</v>
      </c>
      <c r="F1998" s="1">
        <f>IFERROR(__xludf.DUMMYFUNCTION("""COMPUTED_VALUE"""),393411.0)</f>
        <v>393411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IFERROR(__xludf.DUMMYFUNCTION("""COMPUTED_VALUE"""),42.55)</f>
        <v>42.55</v>
      </c>
      <c r="C1999" s="1">
        <f>IFERROR(__xludf.DUMMYFUNCTION("""COMPUTED_VALUE"""),43.32)</f>
        <v>43.32</v>
      </c>
      <c r="D1999" s="1">
        <f>IFERROR(__xludf.DUMMYFUNCTION("""COMPUTED_VALUE"""),42.55)</f>
        <v>42.55</v>
      </c>
      <c r="E1999" s="1">
        <f>IFERROR(__xludf.DUMMYFUNCTION("""COMPUTED_VALUE"""),43.09)</f>
        <v>43.09</v>
      </c>
      <c r="F1999" s="1">
        <f>IFERROR(__xludf.DUMMYFUNCTION("""COMPUTED_VALUE"""),248218.0)</f>
        <v>248218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IFERROR(__xludf.DUMMYFUNCTION("""COMPUTED_VALUE"""),43.39)</f>
        <v>43.39</v>
      </c>
      <c r="C2000" s="1">
        <f>IFERROR(__xludf.DUMMYFUNCTION("""COMPUTED_VALUE"""),43.39)</f>
        <v>43.39</v>
      </c>
      <c r="D2000" s="1">
        <f>IFERROR(__xludf.DUMMYFUNCTION("""COMPUTED_VALUE"""),42.74)</f>
        <v>42.74</v>
      </c>
      <c r="E2000" s="1">
        <f>IFERROR(__xludf.DUMMYFUNCTION("""COMPUTED_VALUE"""),43.03)</f>
        <v>43.03</v>
      </c>
      <c r="F2000" s="1">
        <f>IFERROR(__xludf.DUMMYFUNCTION("""COMPUTED_VALUE"""),348454.0)</f>
        <v>348454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IFERROR(__xludf.DUMMYFUNCTION("""COMPUTED_VALUE"""),42.93)</f>
        <v>42.93</v>
      </c>
      <c r="C2001" s="1">
        <f>IFERROR(__xludf.DUMMYFUNCTION("""COMPUTED_VALUE"""),43.19)</f>
        <v>43.19</v>
      </c>
      <c r="D2001" s="1">
        <f>IFERROR(__xludf.DUMMYFUNCTION("""COMPUTED_VALUE"""),42.26)</f>
        <v>42.26</v>
      </c>
      <c r="E2001" s="1">
        <f>IFERROR(__xludf.DUMMYFUNCTION("""COMPUTED_VALUE"""),42.44)</f>
        <v>42.44</v>
      </c>
      <c r="F2001" s="1">
        <f>IFERROR(__xludf.DUMMYFUNCTION("""COMPUTED_VALUE"""),337433.0)</f>
        <v>337433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IFERROR(__xludf.DUMMYFUNCTION("""COMPUTED_VALUE"""),42.64)</f>
        <v>42.64</v>
      </c>
      <c r="C2002" s="1">
        <f>IFERROR(__xludf.DUMMYFUNCTION("""COMPUTED_VALUE"""),43.4)</f>
        <v>43.4</v>
      </c>
      <c r="D2002" s="1">
        <f>IFERROR(__xludf.DUMMYFUNCTION("""COMPUTED_VALUE"""),42.44)</f>
        <v>42.44</v>
      </c>
      <c r="E2002" s="1">
        <f>IFERROR(__xludf.DUMMYFUNCTION("""COMPUTED_VALUE"""),43.01)</f>
        <v>43.01</v>
      </c>
      <c r="F2002" s="1">
        <f>IFERROR(__xludf.DUMMYFUNCTION("""COMPUTED_VALUE"""),519674.0)</f>
        <v>519674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IFERROR(__xludf.DUMMYFUNCTION("""COMPUTED_VALUE"""),43.0)</f>
        <v>43</v>
      </c>
      <c r="C2003" s="1">
        <f>IFERROR(__xludf.DUMMYFUNCTION("""COMPUTED_VALUE"""),43.23)</f>
        <v>43.23</v>
      </c>
      <c r="D2003" s="1">
        <f>IFERROR(__xludf.DUMMYFUNCTION("""COMPUTED_VALUE"""),42.58)</f>
        <v>42.58</v>
      </c>
      <c r="E2003" s="1">
        <f>IFERROR(__xludf.DUMMYFUNCTION("""COMPUTED_VALUE"""),42.65)</f>
        <v>42.65</v>
      </c>
      <c r="F2003" s="1">
        <f>IFERROR(__xludf.DUMMYFUNCTION("""COMPUTED_VALUE"""),240588.0)</f>
        <v>240588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IFERROR(__xludf.DUMMYFUNCTION("""COMPUTED_VALUE"""),42.88)</f>
        <v>42.88</v>
      </c>
      <c r="C2004" s="1">
        <f>IFERROR(__xludf.DUMMYFUNCTION("""COMPUTED_VALUE"""),42.88)</f>
        <v>42.88</v>
      </c>
      <c r="D2004" s="1">
        <f>IFERROR(__xludf.DUMMYFUNCTION("""COMPUTED_VALUE"""),42.07)</f>
        <v>42.07</v>
      </c>
      <c r="E2004" s="1">
        <f>IFERROR(__xludf.DUMMYFUNCTION("""COMPUTED_VALUE"""),42.31)</f>
        <v>42.31</v>
      </c>
      <c r="F2004" s="1">
        <f>IFERROR(__xludf.DUMMYFUNCTION("""COMPUTED_VALUE"""),367037.0)</f>
        <v>367037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IFERROR(__xludf.DUMMYFUNCTION("""COMPUTED_VALUE"""),42.41)</f>
        <v>42.41</v>
      </c>
      <c r="C2005" s="1">
        <f>IFERROR(__xludf.DUMMYFUNCTION("""COMPUTED_VALUE"""),43.67)</f>
        <v>43.67</v>
      </c>
      <c r="D2005" s="1">
        <f>IFERROR(__xludf.DUMMYFUNCTION("""COMPUTED_VALUE"""),42.2)</f>
        <v>42.2</v>
      </c>
      <c r="E2005" s="1">
        <f>IFERROR(__xludf.DUMMYFUNCTION("""COMPUTED_VALUE"""),43.02)</f>
        <v>43.02</v>
      </c>
      <c r="F2005" s="1">
        <f>IFERROR(__xludf.DUMMYFUNCTION("""COMPUTED_VALUE"""),1546508.0)</f>
        <v>1546508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IFERROR(__xludf.DUMMYFUNCTION("""COMPUTED_VALUE"""),43.44)</f>
        <v>43.44</v>
      </c>
      <c r="C2006" s="1">
        <f>IFERROR(__xludf.DUMMYFUNCTION("""COMPUTED_VALUE"""),44.09)</f>
        <v>44.09</v>
      </c>
      <c r="D2006" s="1">
        <f>IFERROR(__xludf.DUMMYFUNCTION("""COMPUTED_VALUE"""),43.31)</f>
        <v>43.31</v>
      </c>
      <c r="E2006" s="1">
        <f>IFERROR(__xludf.DUMMYFUNCTION("""COMPUTED_VALUE"""),43.75)</f>
        <v>43.75</v>
      </c>
      <c r="F2006" s="1">
        <f>IFERROR(__xludf.DUMMYFUNCTION("""COMPUTED_VALUE"""),271907.0)</f>
        <v>271907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IFERROR(__xludf.DUMMYFUNCTION("""COMPUTED_VALUE"""),44.04)</f>
        <v>44.04</v>
      </c>
      <c r="C2007" s="1">
        <f>IFERROR(__xludf.DUMMYFUNCTION("""COMPUTED_VALUE"""),44.07)</f>
        <v>44.07</v>
      </c>
      <c r="D2007" s="1">
        <f>IFERROR(__xludf.DUMMYFUNCTION("""COMPUTED_VALUE"""),43.22)</f>
        <v>43.22</v>
      </c>
      <c r="E2007" s="1">
        <f>IFERROR(__xludf.DUMMYFUNCTION("""COMPUTED_VALUE"""),43.33)</f>
        <v>43.33</v>
      </c>
      <c r="F2007" s="1">
        <f>IFERROR(__xludf.DUMMYFUNCTION("""COMPUTED_VALUE"""),288155.0)</f>
        <v>288155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IFERROR(__xludf.DUMMYFUNCTION("""COMPUTED_VALUE"""),43.78)</f>
        <v>43.78</v>
      </c>
      <c r="C2008" s="1">
        <f>IFERROR(__xludf.DUMMYFUNCTION("""COMPUTED_VALUE"""),43.78)</f>
        <v>43.78</v>
      </c>
      <c r="D2008" s="1">
        <f>IFERROR(__xludf.DUMMYFUNCTION("""COMPUTED_VALUE"""),42.68)</f>
        <v>42.68</v>
      </c>
      <c r="E2008" s="1">
        <f>IFERROR(__xludf.DUMMYFUNCTION("""COMPUTED_VALUE"""),43.06)</f>
        <v>43.06</v>
      </c>
      <c r="F2008" s="1">
        <f>IFERROR(__xludf.DUMMYFUNCTION("""COMPUTED_VALUE"""),214847.0)</f>
        <v>214847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IFERROR(__xludf.DUMMYFUNCTION("""COMPUTED_VALUE"""),43.47)</f>
        <v>43.47</v>
      </c>
      <c r="C2009" s="1">
        <f>IFERROR(__xludf.DUMMYFUNCTION("""COMPUTED_VALUE"""),43.99)</f>
        <v>43.99</v>
      </c>
      <c r="D2009" s="1">
        <f>IFERROR(__xludf.DUMMYFUNCTION("""COMPUTED_VALUE"""),43.31)</f>
        <v>43.31</v>
      </c>
      <c r="E2009" s="1">
        <f>IFERROR(__xludf.DUMMYFUNCTION("""COMPUTED_VALUE"""),43.63)</f>
        <v>43.63</v>
      </c>
      <c r="F2009" s="1">
        <f>IFERROR(__xludf.DUMMYFUNCTION("""COMPUTED_VALUE"""),213484.0)</f>
        <v>213484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IFERROR(__xludf.DUMMYFUNCTION("""COMPUTED_VALUE"""),43.64)</f>
        <v>43.64</v>
      </c>
      <c r="C2010" s="1">
        <f>IFERROR(__xludf.DUMMYFUNCTION("""COMPUTED_VALUE"""),43.64)</f>
        <v>43.64</v>
      </c>
      <c r="D2010" s="1">
        <f>IFERROR(__xludf.DUMMYFUNCTION("""COMPUTED_VALUE"""),42.99)</f>
        <v>42.99</v>
      </c>
      <c r="E2010" s="1">
        <f>IFERROR(__xludf.DUMMYFUNCTION("""COMPUTED_VALUE"""),43.26)</f>
        <v>43.26</v>
      </c>
      <c r="F2010" s="1">
        <f>IFERROR(__xludf.DUMMYFUNCTION("""COMPUTED_VALUE"""),198247.0)</f>
        <v>198247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IFERROR(__xludf.DUMMYFUNCTION("""COMPUTED_VALUE"""),43.2)</f>
        <v>43.2</v>
      </c>
      <c r="C2011" s="1">
        <f>IFERROR(__xludf.DUMMYFUNCTION("""COMPUTED_VALUE"""),43.34)</f>
        <v>43.34</v>
      </c>
      <c r="D2011" s="1">
        <f>IFERROR(__xludf.DUMMYFUNCTION("""COMPUTED_VALUE"""),42.53)</f>
        <v>42.53</v>
      </c>
      <c r="E2011" s="1">
        <f>IFERROR(__xludf.DUMMYFUNCTION("""COMPUTED_VALUE"""),42.74)</f>
        <v>42.74</v>
      </c>
      <c r="F2011" s="1">
        <f>IFERROR(__xludf.DUMMYFUNCTION("""COMPUTED_VALUE"""),250058.0)</f>
        <v>250058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IFERROR(__xludf.DUMMYFUNCTION("""COMPUTED_VALUE"""),42.88)</f>
        <v>42.88</v>
      </c>
      <c r="C2012" s="1">
        <f>IFERROR(__xludf.DUMMYFUNCTION("""COMPUTED_VALUE"""),43.16)</f>
        <v>43.16</v>
      </c>
      <c r="D2012" s="1">
        <f>IFERROR(__xludf.DUMMYFUNCTION("""COMPUTED_VALUE"""),42.55)</f>
        <v>42.55</v>
      </c>
      <c r="E2012" s="1">
        <f>IFERROR(__xludf.DUMMYFUNCTION("""COMPUTED_VALUE"""),42.67)</f>
        <v>42.67</v>
      </c>
      <c r="F2012" s="1">
        <f>IFERROR(__xludf.DUMMYFUNCTION("""COMPUTED_VALUE"""),210676.0)</f>
        <v>210676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IFERROR(__xludf.DUMMYFUNCTION("""COMPUTED_VALUE"""),42.78)</f>
        <v>42.78</v>
      </c>
      <c r="C2013" s="1">
        <f>IFERROR(__xludf.DUMMYFUNCTION("""COMPUTED_VALUE"""),42.86)</f>
        <v>42.86</v>
      </c>
      <c r="D2013" s="1">
        <f>IFERROR(__xludf.DUMMYFUNCTION("""COMPUTED_VALUE"""),42.55)</f>
        <v>42.55</v>
      </c>
      <c r="E2013" s="1">
        <f>IFERROR(__xludf.DUMMYFUNCTION("""COMPUTED_VALUE"""),42.84)</f>
        <v>42.84</v>
      </c>
      <c r="F2013" s="1">
        <f>IFERROR(__xludf.DUMMYFUNCTION("""COMPUTED_VALUE"""),118614.0)</f>
        <v>118614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IFERROR(__xludf.DUMMYFUNCTION("""COMPUTED_VALUE"""),42.81)</f>
        <v>42.81</v>
      </c>
      <c r="C2014" s="1">
        <f>IFERROR(__xludf.DUMMYFUNCTION("""COMPUTED_VALUE"""),43.05)</f>
        <v>43.05</v>
      </c>
      <c r="D2014" s="1">
        <f>IFERROR(__xludf.DUMMYFUNCTION("""COMPUTED_VALUE"""),42.15)</f>
        <v>42.15</v>
      </c>
      <c r="E2014" s="1">
        <f>IFERROR(__xludf.DUMMYFUNCTION("""COMPUTED_VALUE"""),42.17)</f>
        <v>42.17</v>
      </c>
      <c r="F2014" s="1">
        <f>IFERROR(__xludf.DUMMYFUNCTION("""COMPUTED_VALUE"""),255661.0)</f>
        <v>255661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IFERROR(__xludf.DUMMYFUNCTION("""COMPUTED_VALUE"""),42.42)</f>
        <v>42.42</v>
      </c>
      <c r="C2015" s="1">
        <f>IFERROR(__xludf.DUMMYFUNCTION("""COMPUTED_VALUE"""),42.64)</f>
        <v>42.64</v>
      </c>
      <c r="D2015" s="1">
        <f>IFERROR(__xludf.DUMMYFUNCTION("""COMPUTED_VALUE"""),42.02)</f>
        <v>42.02</v>
      </c>
      <c r="E2015" s="1">
        <f>IFERROR(__xludf.DUMMYFUNCTION("""COMPUTED_VALUE"""),42.64)</f>
        <v>42.64</v>
      </c>
      <c r="F2015" s="1">
        <f>IFERROR(__xludf.DUMMYFUNCTION("""COMPUTED_VALUE"""),500692.0)</f>
        <v>500692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IFERROR(__xludf.DUMMYFUNCTION("""COMPUTED_VALUE"""),42.48)</f>
        <v>42.48</v>
      </c>
      <c r="C2016" s="1">
        <f>IFERROR(__xludf.DUMMYFUNCTION("""COMPUTED_VALUE"""),42.69)</f>
        <v>42.69</v>
      </c>
      <c r="D2016" s="1">
        <f>IFERROR(__xludf.DUMMYFUNCTION("""COMPUTED_VALUE"""),41.97)</f>
        <v>41.97</v>
      </c>
      <c r="E2016" s="1">
        <f>IFERROR(__xludf.DUMMYFUNCTION("""COMPUTED_VALUE"""),42.32)</f>
        <v>42.32</v>
      </c>
      <c r="F2016" s="1">
        <f>IFERROR(__xludf.DUMMYFUNCTION("""COMPUTED_VALUE"""),389888.0)</f>
        <v>389888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IFERROR(__xludf.DUMMYFUNCTION("""COMPUTED_VALUE"""),42.7)</f>
        <v>42.7</v>
      </c>
      <c r="C2017" s="1">
        <f>IFERROR(__xludf.DUMMYFUNCTION("""COMPUTED_VALUE"""),42.92)</f>
        <v>42.92</v>
      </c>
      <c r="D2017" s="1">
        <f>IFERROR(__xludf.DUMMYFUNCTION("""COMPUTED_VALUE"""),42.1)</f>
        <v>42.1</v>
      </c>
      <c r="E2017" s="1">
        <f>IFERROR(__xludf.DUMMYFUNCTION("""COMPUTED_VALUE"""),42.12)</f>
        <v>42.12</v>
      </c>
      <c r="F2017" s="1">
        <f>IFERROR(__xludf.DUMMYFUNCTION("""COMPUTED_VALUE"""),449461.0)</f>
        <v>449461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IFERROR(__xludf.DUMMYFUNCTION("""COMPUTED_VALUE"""),42.43)</f>
        <v>42.43</v>
      </c>
      <c r="C2018" s="1">
        <f>IFERROR(__xludf.DUMMYFUNCTION("""COMPUTED_VALUE"""),42.61)</f>
        <v>42.61</v>
      </c>
      <c r="D2018" s="1">
        <f>IFERROR(__xludf.DUMMYFUNCTION("""COMPUTED_VALUE"""),42.12)</f>
        <v>42.12</v>
      </c>
      <c r="E2018" s="1">
        <f>IFERROR(__xludf.DUMMYFUNCTION("""COMPUTED_VALUE"""),42.57)</f>
        <v>42.57</v>
      </c>
      <c r="F2018" s="1">
        <f>IFERROR(__xludf.DUMMYFUNCTION("""COMPUTED_VALUE"""),237738.0)</f>
        <v>237738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IFERROR(__xludf.DUMMYFUNCTION("""COMPUTED_VALUE"""),42.52)</f>
        <v>42.52</v>
      </c>
      <c r="C2019" s="1">
        <f>IFERROR(__xludf.DUMMYFUNCTION("""COMPUTED_VALUE"""),42.76)</f>
        <v>42.76</v>
      </c>
      <c r="D2019" s="1">
        <f>IFERROR(__xludf.DUMMYFUNCTION("""COMPUTED_VALUE"""),42.22)</f>
        <v>42.22</v>
      </c>
      <c r="E2019" s="1">
        <f>IFERROR(__xludf.DUMMYFUNCTION("""COMPUTED_VALUE"""),42.65)</f>
        <v>42.65</v>
      </c>
      <c r="F2019" s="1">
        <f>IFERROR(__xludf.DUMMYFUNCTION("""COMPUTED_VALUE"""),252552.0)</f>
        <v>252552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IFERROR(__xludf.DUMMYFUNCTION("""COMPUTED_VALUE"""),42.75)</f>
        <v>42.75</v>
      </c>
      <c r="C2020" s="1">
        <f>IFERROR(__xludf.DUMMYFUNCTION("""COMPUTED_VALUE"""),43.46)</f>
        <v>43.46</v>
      </c>
      <c r="D2020" s="1">
        <f>IFERROR(__xludf.DUMMYFUNCTION("""COMPUTED_VALUE"""),42.68)</f>
        <v>42.68</v>
      </c>
      <c r="E2020" s="1">
        <f>IFERROR(__xludf.DUMMYFUNCTION("""COMPUTED_VALUE"""),42.99)</f>
        <v>42.99</v>
      </c>
      <c r="F2020" s="1">
        <f>IFERROR(__xludf.DUMMYFUNCTION("""COMPUTED_VALUE"""),483401.0)</f>
        <v>483401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IFERROR(__xludf.DUMMYFUNCTION("""COMPUTED_VALUE"""),43.0)</f>
        <v>43</v>
      </c>
      <c r="C2021" s="1">
        <f>IFERROR(__xludf.DUMMYFUNCTION("""COMPUTED_VALUE"""),44.12)</f>
        <v>44.12</v>
      </c>
      <c r="D2021" s="1">
        <f>IFERROR(__xludf.DUMMYFUNCTION("""COMPUTED_VALUE"""),43.0)</f>
        <v>43</v>
      </c>
      <c r="E2021" s="1">
        <f>IFERROR(__xludf.DUMMYFUNCTION("""COMPUTED_VALUE"""),43.51)</f>
        <v>43.51</v>
      </c>
      <c r="F2021" s="1">
        <f>IFERROR(__xludf.DUMMYFUNCTION("""COMPUTED_VALUE"""),225513.0)</f>
        <v>225513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IFERROR(__xludf.DUMMYFUNCTION("""COMPUTED_VALUE"""),43.99)</f>
        <v>43.99</v>
      </c>
      <c r="C2022" s="1">
        <f>IFERROR(__xludf.DUMMYFUNCTION("""COMPUTED_VALUE"""),44.32)</f>
        <v>44.32</v>
      </c>
      <c r="D2022" s="1">
        <f>IFERROR(__xludf.DUMMYFUNCTION("""COMPUTED_VALUE"""),43.63)</f>
        <v>43.63</v>
      </c>
      <c r="E2022" s="1">
        <f>IFERROR(__xludf.DUMMYFUNCTION("""COMPUTED_VALUE"""),44.32)</f>
        <v>44.32</v>
      </c>
      <c r="F2022" s="1">
        <f>IFERROR(__xludf.DUMMYFUNCTION("""COMPUTED_VALUE"""),299891.0)</f>
        <v>299891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IFERROR(__xludf.DUMMYFUNCTION("""COMPUTED_VALUE"""),44.52)</f>
        <v>44.52</v>
      </c>
      <c r="C2023" s="1">
        <f>IFERROR(__xludf.DUMMYFUNCTION("""COMPUTED_VALUE"""),45.06)</f>
        <v>45.06</v>
      </c>
      <c r="D2023" s="1">
        <f>IFERROR(__xludf.DUMMYFUNCTION("""COMPUTED_VALUE"""),44.14)</f>
        <v>44.14</v>
      </c>
      <c r="E2023" s="1">
        <f>IFERROR(__xludf.DUMMYFUNCTION("""COMPUTED_VALUE"""),44.7)</f>
        <v>44.7</v>
      </c>
      <c r="F2023" s="1">
        <f>IFERROR(__xludf.DUMMYFUNCTION("""COMPUTED_VALUE"""),286077.0)</f>
        <v>286077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IFERROR(__xludf.DUMMYFUNCTION("""COMPUTED_VALUE"""),44.99)</f>
        <v>44.99</v>
      </c>
      <c r="C2024" s="1">
        <f>IFERROR(__xludf.DUMMYFUNCTION("""COMPUTED_VALUE"""),45.18)</f>
        <v>45.18</v>
      </c>
      <c r="D2024" s="1">
        <f>IFERROR(__xludf.DUMMYFUNCTION("""COMPUTED_VALUE"""),43.92)</f>
        <v>43.92</v>
      </c>
      <c r="E2024" s="1">
        <f>IFERROR(__xludf.DUMMYFUNCTION("""COMPUTED_VALUE"""),44.09)</f>
        <v>44.09</v>
      </c>
      <c r="F2024" s="1">
        <f>IFERROR(__xludf.DUMMYFUNCTION("""COMPUTED_VALUE"""),206913.0)</f>
        <v>206913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IFERROR(__xludf.DUMMYFUNCTION("""COMPUTED_VALUE"""),44.33)</f>
        <v>44.33</v>
      </c>
      <c r="C2025" s="1">
        <f>IFERROR(__xludf.DUMMYFUNCTION("""COMPUTED_VALUE"""),44.67)</f>
        <v>44.67</v>
      </c>
      <c r="D2025" s="1">
        <f>IFERROR(__xludf.DUMMYFUNCTION("""COMPUTED_VALUE"""),43.92)</f>
        <v>43.92</v>
      </c>
      <c r="E2025" s="1">
        <f>IFERROR(__xludf.DUMMYFUNCTION("""COMPUTED_VALUE"""),44.59)</f>
        <v>44.59</v>
      </c>
      <c r="F2025" s="1">
        <f>IFERROR(__xludf.DUMMYFUNCTION("""COMPUTED_VALUE"""),156604.0)</f>
        <v>156604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IFERROR(__xludf.DUMMYFUNCTION("""COMPUTED_VALUE"""),44.51)</f>
        <v>44.51</v>
      </c>
      <c r="C2026" s="1">
        <f>IFERROR(__xludf.DUMMYFUNCTION("""COMPUTED_VALUE"""),44.67)</f>
        <v>44.67</v>
      </c>
      <c r="D2026" s="1">
        <f>IFERROR(__xludf.DUMMYFUNCTION("""COMPUTED_VALUE"""),44.03)</f>
        <v>44.03</v>
      </c>
      <c r="E2026" s="1">
        <f>IFERROR(__xludf.DUMMYFUNCTION("""COMPUTED_VALUE"""),44.08)</f>
        <v>44.08</v>
      </c>
      <c r="F2026" s="1">
        <f>IFERROR(__xludf.DUMMYFUNCTION("""COMPUTED_VALUE"""),204189.0)</f>
        <v>204189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IFERROR(__xludf.DUMMYFUNCTION("""COMPUTED_VALUE"""),43.98)</f>
        <v>43.98</v>
      </c>
      <c r="C2027" s="1">
        <f>IFERROR(__xludf.DUMMYFUNCTION("""COMPUTED_VALUE"""),44.79)</f>
        <v>44.79</v>
      </c>
      <c r="D2027" s="1">
        <f>IFERROR(__xludf.DUMMYFUNCTION("""COMPUTED_VALUE"""),43.98)</f>
        <v>43.98</v>
      </c>
      <c r="E2027" s="1">
        <f>IFERROR(__xludf.DUMMYFUNCTION("""COMPUTED_VALUE"""),44.77)</f>
        <v>44.77</v>
      </c>
      <c r="F2027" s="1">
        <f>IFERROR(__xludf.DUMMYFUNCTION("""COMPUTED_VALUE"""),246035.0)</f>
        <v>246035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IFERROR(__xludf.DUMMYFUNCTION("""COMPUTED_VALUE"""),44.69)</f>
        <v>44.69</v>
      </c>
      <c r="C2028" s="1">
        <f>IFERROR(__xludf.DUMMYFUNCTION("""COMPUTED_VALUE"""),45.12)</f>
        <v>45.12</v>
      </c>
      <c r="D2028" s="1">
        <f>IFERROR(__xludf.DUMMYFUNCTION("""COMPUTED_VALUE"""),44.3)</f>
        <v>44.3</v>
      </c>
      <c r="E2028" s="1">
        <f>IFERROR(__xludf.DUMMYFUNCTION("""COMPUTED_VALUE"""),45.12)</f>
        <v>45.12</v>
      </c>
      <c r="F2028" s="1">
        <f>IFERROR(__xludf.DUMMYFUNCTION("""COMPUTED_VALUE"""),335096.0)</f>
        <v>335096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IFERROR(__xludf.DUMMYFUNCTION("""COMPUTED_VALUE"""),44.82)</f>
        <v>44.82</v>
      </c>
      <c r="C2029" s="1">
        <f>IFERROR(__xludf.DUMMYFUNCTION("""COMPUTED_VALUE"""),45.44)</f>
        <v>45.44</v>
      </c>
      <c r="D2029" s="1">
        <f>IFERROR(__xludf.DUMMYFUNCTION("""COMPUTED_VALUE"""),44.57)</f>
        <v>44.57</v>
      </c>
      <c r="E2029" s="1">
        <f>IFERROR(__xludf.DUMMYFUNCTION("""COMPUTED_VALUE"""),45.2)</f>
        <v>45.2</v>
      </c>
      <c r="F2029" s="1">
        <f>IFERROR(__xludf.DUMMYFUNCTION("""COMPUTED_VALUE"""),272342.0)</f>
        <v>272342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IFERROR(__xludf.DUMMYFUNCTION("""COMPUTED_VALUE"""),45.42)</f>
        <v>45.42</v>
      </c>
      <c r="C2030" s="1">
        <f>IFERROR(__xludf.DUMMYFUNCTION("""COMPUTED_VALUE"""),45.59)</f>
        <v>45.59</v>
      </c>
      <c r="D2030" s="1">
        <f>IFERROR(__xludf.DUMMYFUNCTION("""COMPUTED_VALUE"""),44.96)</f>
        <v>44.96</v>
      </c>
      <c r="E2030" s="1">
        <f>IFERROR(__xludf.DUMMYFUNCTION("""COMPUTED_VALUE"""),45.09)</f>
        <v>45.09</v>
      </c>
      <c r="F2030" s="1">
        <f>IFERROR(__xludf.DUMMYFUNCTION("""COMPUTED_VALUE"""),272838.0)</f>
        <v>272838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IFERROR(__xludf.DUMMYFUNCTION("""COMPUTED_VALUE"""),45.32)</f>
        <v>45.32</v>
      </c>
      <c r="C2031" s="1">
        <f>IFERROR(__xludf.DUMMYFUNCTION("""COMPUTED_VALUE"""),45.4)</f>
        <v>45.4</v>
      </c>
      <c r="D2031" s="1">
        <f>IFERROR(__xludf.DUMMYFUNCTION("""COMPUTED_VALUE"""),44.41)</f>
        <v>44.41</v>
      </c>
      <c r="E2031" s="1">
        <f>IFERROR(__xludf.DUMMYFUNCTION("""COMPUTED_VALUE"""),44.63)</f>
        <v>44.63</v>
      </c>
      <c r="F2031" s="1">
        <f>IFERROR(__xludf.DUMMYFUNCTION("""COMPUTED_VALUE"""),316051.0)</f>
        <v>316051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IFERROR(__xludf.DUMMYFUNCTION("""COMPUTED_VALUE"""),44.77)</f>
        <v>44.77</v>
      </c>
      <c r="C2032" s="1">
        <f>IFERROR(__xludf.DUMMYFUNCTION("""COMPUTED_VALUE"""),44.77)</f>
        <v>44.77</v>
      </c>
      <c r="D2032" s="1">
        <f>IFERROR(__xludf.DUMMYFUNCTION("""COMPUTED_VALUE"""),44.09)</f>
        <v>44.09</v>
      </c>
      <c r="E2032" s="1">
        <f>IFERROR(__xludf.DUMMYFUNCTION("""COMPUTED_VALUE"""),44.59)</f>
        <v>44.59</v>
      </c>
      <c r="F2032" s="1">
        <f>IFERROR(__xludf.DUMMYFUNCTION("""COMPUTED_VALUE"""),136258.0)</f>
        <v>136258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IFERROR(__xludf.DUMMYFUNCTION("""COMPUTED_VALUE"""),44.48)</f>
        <v>44.48</v>
      </c>
      <c r="C2033" s="1">
        <f>IFERROR(__xludf.DUMMYFUNCTION("""COMPUTED_VALUE"""),44.77)</f>
        <v>44.77</v>
      </c>
      <c r="D2033" s="1">
        <f>IFERROR(__xludf.DUMMYFUNCTION("""COMPUTED_VALUE"""),43.86)</f>
        <v>43.86</v>
      </c>
      <c r="E2033" s="1">
        <f>IFERROR(__xludf.DUMMYFUNCTION("""COMPUTED_VALUE"""),43.88)</f>
        <v>43.88</v>
      </c>
      <c r="F2033" s="1">
        <f>IFERROR(__xludf.DUMMYFUNCTION("""COMPUTED_VALUE"""),336696.0)</f>
        <v>336696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IFERROR(__xludf.DUMMYFUNCTION("""COMPUTED_VALUE"""),43.62)</f>
        <v>43.62</v>
      </c>
      <c r="C2034" s="1">
        <f>IFERROR(__xludf.DUMMYFUNCTION("""COMPUTED_VALUE"""),44.11)</f>
        <v>44.11</v>
      </c>
      <c r="D2034" s="1">
        <f>IFERROR(__xludf.DUMMYFUNCTION("""COMPUTED_VALUE"""),43.32)</f>
        <v>43.32</v>
      </c>
      <c r="E2034" s="1">
        <f>IFERROR(__xludf.DUMMYFUNCTION("""COMPUTED_VALUE"""),43.53)</f>
        <v>43.53</v>
      </c>
      <c r="F2034" s="1">
        <f>IFERROR(__xludf.DUMMYFUNCTION("""COMPUTED_VALUE"""),221759.0)</f>
        <v>221759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IFERROR(__xludf.DUMMYFUNCTION("""COMPUTED_VALUE"""),43.91)</f>
        <v>43.91</v>
      </c>
      <c r="C2035" s="1">
        <f>IFERROR(__xludf.DUMMYFUNCTION("""COMPUTED_VALUE"""),44.67)</f>
        <v>44.67</v>
      </c>
      <c r="D2035" s="1">
        <f>IFERROR(__xludf.DUMMYFUNCTION("""COMPUTED_VALUE"""),43.11)</f>
        <v>43.11</v>
      </c>
      <c r="E2035" s="1">
        <f>IFERROR(__xludf.DUMMYFUNCTION("""COMPUTED_VALUE"""),43.74)</f>
        <v>43.74</v>
      </c>
      <c r="F2035" s="1">
        <f>IFERROR(__xludf.DUMMYFUNCTION("""COMPUTED_VALUE"""),611049.0)</f>
        <v>611049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IFERROR(__xludf.DUMMYFUNCTION("""COMPUTED_VALUE"""),43.62)</f>
        <v>43.62</v>
      </c>
      <c r="C2036" s="1">
        <f>IFERROR(__xludf.DUMMYFUNCTION("""COMPUTED_VALUE"""),44.49)</f>
        <v>44.49</v>
      </c>
      <c r="D2036" s="1">
        <f>IFERROR(__xludf.DUMMYFUNCTION("""COMPUTED_VALUE"""),42.95)</f>
        <v>42.95</v>
      </c>
      <c r="E2036" s="1">
        <f>IFERROR(__xludf.DUMMYFUNCTION("""COMPUTED_VALUE"""),44.49)</f>
        <v>44.49</v>
      </c>
      <c r="F2036" s="1">
        <f>IFERROR(__xludf.DUMMYFUNCTION("""COMPUTED_VALUE"""),601684.0)</f>
        <v>601684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IFERROR(__xludf.DUMMYFUNCTION("""COMPUTED_VALUE"""),44.21)</f>
        <v>44.21</v>
      </c>
      <c r="C2037" s="1">
        <f>IFERROR(__xludf.DUMMYFUNCTION("""COMPUTED_VALUE"""),44.99)</f>
        <v>44.99</v>
      </c>
      <c r="D2037" s="1">
        <f>IFERROR(__xludf.DUMMYFUNCTION("""COMPUTED_VALUE"""),43.95)</f>
        <v>43.95</v>
      </c>
      <c r="E2037" s="1">
        <f>IFERROR(__xludf.DUMMYFUNCTION("""COMPUTED_VALUE"""),44.09)</f>
        <v>44.09</v>
      </c>
      <c r="F2037" s="1">
        <f>IFERROR(__xludf.DUMMYFUNCTION("""COMPUTED_VALUE"""),401297.0)</f>
        <v>401297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IFERROR(__xludf.DUMMYFUNCTION("""COMPUTED_VALUE"""),43.6)</f>
        <v>43.6</v>
      </c>
      <c r="C2038" s="1">
        <f>IFERROR(__xludf.DUMMYFUNCTION("""COMPUTED_VALUE"""),44.25)</f>
        <v>44.25</v>
      </c>
      <c r="D2038" s="1">
        <f>IFERROR(__xludf.DUMMYFUNCTION("""COMPUTED_VALUE"""),41.72)</f>
        <v>41.72</v>
      </c>
      <c r="E2038" s="1">
        <f>IFERROR(__xludf.DUMMYFUNCTION("""COMPUTED_VALUE"""),41.93)</f>
        <v>41.93</v>
      </c>
      <c r="F2038" s="1">
        <f>IFERROR(__xludf.DUMMYFUNCTION("""COMPUTED_VALUE"""),436035.0)</f>
        <v>436035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IFERROR(__xludf.DUMMYFUNCTION("""COMPUTED_VALUE"""),40.94)</f>
        <v>40.94</v>
      </c>
      <c r="C2039" s="1">
        <f>IFERROR(__xludf.DUMMYFUNCTION("""COMPUTED_VALUE"""),42.38)</f>
        <v>42.38</v>
      </c>
      <c r="D2039" s="1">
        <f>IFERROR(__xludf.DUMMYFUNCTION("""COMPUTED_VALUE"""),40.36)</f>
        <v>40.36</v>
      </c>
      <c r="E2039" s="1">
        <f>IFERROR(__xludf.DUMMYFUNCTION("""COMPUTED_VALUE"""),42.07)</f>
        <v>42.07</v>
      </c>
      <c r="F2039" s="1">
        <f>IFERROR(__xludf.DUMMYFUNCTION("""COMPUTED_VALUE"""),599873.0)</f>
        <v>599873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IFERROR(__xludf.DUMMYFUNCTION("""COMPUTED_VALUE"""),41.99)</f>
        <v>41.99</v>
      </c>
      <c r="C2040" s="1">
        <f>IFERROR(__xludf.DUMMYFUNCTION("""COMPUTED_VALUE"""),42.76)</f>
        <v>42.76</v>
      </c>
      <c r="D2040" s="1">
        <f>IFERROR(__xludf.DUMMYFUNCTION("""COMPUTED_VALUE"""),41.8)</f>
        <v>41.8</v>
      </c>
      <c r="E2040" s="1">
        <f>IFERROR(__xludf.DUMMYFUNCTION("""COMPUTED_VALUE"""),42.48)</f>
        <v>42.48</v>
      </c>
      <c r="F2040" s="1">
        <f>IFERROR(__xludf.DUMMYFUNCTION("""COMPUTED_VALUE"""),328374.0)</f>
        <v>328374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IFERROR(__xludf.DUMMYFUNCTION("""COMPUTED_VALUE"""),42.74)</f>
        <v>42.74</v>
      </c>
      <c r="C2041" s="1">
        <f>IFERROR(__xludf.DUMMYFUNCTION("""COMPUTED_VALUE"""),42.84)</f>
        <v>42.84</v>
      </c>
      <c r="D2041" s="1">
        <f>IFERROR(__xludf.DUMMYFUNCTION("""COMPUTED_VALUE"""),41.37)</f>
        <v>41.37</v>
      </c>
      <c r="E2041" s="1">
        <f>IFERROR(__xludf.DUMMYFUNCTION("""COMPUTED_VALUE"""),41.39)</f>
        <v>41.39</v>
      </c>
      <c r="F2041" s="1">
        <f>IFERROR(__xludf.DUMMYFUNCTION("""COMPUTED_VALUE"""),408156.0)</f>
        <v>408156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IFERROR(__xludf.DUMMYFUNCTION("""COMPUTED_VALUE"""),42.1)</f>
        <v>42.1</v>
      </c>
      <c r="C2042" s="1">
        <f>IFERROR(__xludf.DUMMYFUNCTION("""COMPUTED_VALUE"""),42.21)</f>
        <v>42.21</v>
      </c>
      <c r="D2042" s="1">
        <f>IFERROR(__xludf.DUMMYFUNCTION("""COMPUTED_VALUE"""),40.77)</f>
        <v>40.77</v>
      </c>
      <c r="E2042" s="1">
        <f>IFERROR(__xludf.DUMMYFUNCTION("""COMPUTED_VALUE"""),41.89)</f>
        <v>41.89</v>
      </c>
      <c r="F2042" s="1">
        <f>IFERROR(__xludf.DUMMYFUNCTION("""COMPUTED_VALUE"""),423187.0)</f>
        <v>423187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IFERROR(__xludf.DUMMYFUNCTION("""COMPUTED_VALUE"""),42.09)</f>
        <v>42.09</v>
      </c>
      <c r="C2043" s="1">
        <f>IFERROR(__xludf.DUMMYFUNCTION("""COMPUTED_VALUE"""),42.43)</f>
        <v>42.43</v>
      </c>
      <c r="D2043" s="1">
        <f>IFERROR(__xludf.DUMMYFUNCTION("""COMPUTED_VALUE"""),41.52)</f>
        <v>41.52</v>
      </c>
      <c r="E2043" s="1">
        <f>IFERROR(__xludf.DUMMYFUNCTION("""COMPUTED_VALUE"""),41.75)</f>
        <v>41.75</v>
      </c>
      <c r="F2043" s="1">
        <f>IFERROR(__xludf.DUMMYFUNCTION("""COMPUTED_VALUE"""),503619.0)</f>
        <v>503619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IFERROR(__xludf.DUMMYFUNCTION("""COMPUTED_VALUE"""),41.36)</f>
        <v>41.36</v>
      </c>
      <c r="C2044" s="1">
        <f>IFERROR(__xludf.DUMMYFUNCTION("""COMPUTED_VALUE"""),41.98)</f>
        <v>41.98</v>
      </c>
      <c r="D2044" s="1">
        <f>IFERROR(__xludf.DUMMYFUNCTION("""COMPUTED_VALUE"""),41.27)</f>
        <v>41.27</v>
      </c>
      <c r="E2044" s="1">
        <f>IFERROR(__xludf.DUMMYFUNCTION("""COMPUTED_VALUE"""),41.8)</f>
        <v>41.8</v>
      </c>
      <c r="F2044" s="1">
        <f>IFERROR(__xludf.DUMMYFUNCTION("""COMPUTED_VALUE"""),356733.0)</f>
        <v>356733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IFERROR(__xludf.DUMMYFUNCTION("""COMPUTED_VALUE"""),41.54)</f>
        <v>41.54</v>
      </c>
      <c r="C2045" s="1">
        <f>IFERROR(__xludf.DUMMYFUNCTION("""COMPUTED_VALUE"""),42.86)</f>
        <v>42.86</v>
      </c>
      <c r="D2045" s="1">
        <f>IFERROR(__xludf.DUMMYFUNCTION("""COMPUTED_VALUE"""),41.54)</f>
        <v>41.54</v>
      </c>
      <c r="E2045" s="1">
        <f>IFERROR(__xludf.DUMMYFUNCTION("""COMPUTED_VALUE"""),42.75)</f>
        <v>42.75</v>
      </c>
      <c r="F2045" s="1">
        <f>IFERROR(__xludf.DUMMYFUNCTION("""COMPUTED_VALUE"""),246971.0)</f>
        <v>246971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IFERROR(__xludf.DUMMYFUNCTION("""COMPUTED_VALUE"""),43.0)</f>
        <v>43</v>
      </c>
      <c r="C2046" s="1">
        <f>IFERROR(__xludf.DUMMYFUNCTION("""COMPUTED_VALUE"""),43.19)</f>
        <v>43.19</v>
      </c>
      <c r="D2046" s="1">
        <f>IFERROR(__xludf.DUMMYFUNCTION("""COMPUTED_VALUE"""),42.48)</f>
        <v>42.48</v>
      </c>
      <c r="E2046" s="1">
        <f>IFERROR(__xludf.DUMMYFUNCTION("""COMPUTED_VALUE"""),42.88)</f>
        <v>42.88</v>
      </c>
      <c r="F2046" s="1">
        <f>IFERROR(__xludf.DUMMYFUNCTION("""COMPUTED_VALUE"""),291793.0)</f>
        <v>291793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IFERROR(__xludf.DUMMYFUNCTION("""COMPUTED_VALUE"""),42.66)</f>
        <v>42.66</v>
      </c>
      <c r="C2047" s="1">
        <f>IFERROR(__xludf.DUMMYFUNCTION("""COMPUTED_VALUE"""),43.56)</f>
        <v>43.56</v>
      </c>
      <c r="D2047" s="1">
        <f>IFERROR(__xludf.DUMMYFUNCTION("""COMPUTED_VALUE"""),42.66)</f>
        <v>42.66</v>
      </c>
      <c r="E2047" s="1">
        <f>IFERROR(__xludf.DUMMYFUNCTION("""COMPUTED_VALUE"""),43.21)</f>
        <v>43.21</v>
      </c>
      <c r="F2047" s="1">
        <f>IFERROR(__xludf.DUMMYFUNCTION("""COMPUTED_VALUE"""),189520.0)</f>
        <v>189520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IFERROR(__xludf.DUMMYFUNCTION("""COMPUTED_VALUE"""),42.99)</f>
        <v>42.99</v>
      </c>
      <c r="C2048" s="1">
        <f>IFERROR(__xludf.DUMMYFUNCTION("""COMPUTED_VALUE"""),43.36)</f>
        <v>43.36</v>
      </c>
      <c r="D2048" s="1">
        <f>IFERROR(__xludf.DUMMYFUNCTION("""COMPUTED_VALUE"""),42.31)</f>
        <v>42.31</v>
      </c>
      <c r="E2048" s="1">
        <f>IFERROR(__xludf.DUMMYFUNCTION("""COMPUTED_VALUE"""),42.41)</f>
        <v>42.41</v>
      </c>
      <c r="F2048" s="1">
        <f>IFERROR(__xludf.DUMMYFUNCTION("""COMPUTED_VALUE"""),262436.0)</f>
        <v>262436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IFERROR(__xludf.DUMMYFUNCTION("""COMPUTED_VALUE"""),42.49)</f>
        <v>42.49</v>
      </c>
      <c r="C2049" s="1">
        <f>IFERROR(__xludf.DUMMYFUNCTION("""COMPUTED_VALUE"""),43.29)</f>
        <v>43.29</v>
      </c>
      <c r="D2049" s="1">
        <f>IFERROR(__xludf.DUMMYFUNCTION("""COMPUTED_VALUE"""),42.46)</f>
        <v>42.46</v>
      </c>
      <c r="E2049" s="1">
        <f>IFERROR(__xludf.DUMMYFUNCTION("""COMPUTED_VALUE"""),42.84)</f>
        <v>42.84</v>
      </c>
      <c r="F2049" s="1">
        <f>IFERROR(__xludf.DUMMYFUNCTION("""COMPUTED_VALUE"""),325355.0)</f>
        <v>325355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IFERROR(__xludf.DUMMYFUNCTION("""COMPUTED_VALUE"""),43.0)</f>
        <v>43</v>
      </c>
      <c r="C2050" s="1">
        <f>IFERROR(__xludf.DUMMYFUNCTION("""COMPUTED_VALUE"""),43.2)</f>
        <v>43.2</v>
      </c>
      <c r="D2050" s="1">
        <f>IFERROR(__xludf.DUMMYFUNCTION("""COMPUTED_VALUE"""),42.23)</f>
        <v>42.23</v>
      </c>
      <c r="E2050" s="1">
        <f>IFERROR(__xludf.DUMMYFUNCTION("""COMPUTED_VALUE"""),42.24)</f>
        <v>42.24</v>
      </c>
      <c r="F2050" s="1">
        <f>IFERROR(__xludf.DUMMYFUNCTION("""COMPUTED_VALUE"""),217479.0)</f>
        <v>217479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IFERROR(__xludf.DUMMYFUNCTION("""COMPUTED_VALUE"""),42.51)</f>
        <v>42.51</v>
      </c>
      <c r="C2051" s="1">
        <f>IFERROR(__xludf.DUMMYFUNCTION("""COMPUTED_VALUE"""),42.78)</f>
        <v>42.78</v>
      </c>
      <c r="D2051" s="1">
        <f>IFERROR(__xludf.DUMMYFUNCTION("""COMPUTED_VALUE"""),42.26)</f>
        <v>42.26</v>
      </c>
      <c r="E2051" s="1">
        <f>IFERROR(__xludf.DUMMYFUNCTION("""COMPUTED_VALUE"""),42.73)</f>
        <v>42.73</v>
      </c>
      <c r="F2051" s="1">
        <f>IFERROR(__xludf.DUMMYFUNCTION("""COMPUTED_VALUE"""),268289.0)</f>
        <v>268289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IFERROR(__xludf.DUMMYFUNCTION("""COMPUTED_VALUE"""),42.91)</f>
        <v>42.91</v>
      </c>
      <c r="C2052" s="1">
        <f>IFERROR(__xludf.DUMMYFUNCTION("""COMPUTED_VALUE"""),43.14)</f>
        <v>43.14</v>
      </c>
      <c r="D2052" s="1">
        <f>IFERROR(__xludf.DUMMYFUNCTION("""COMPUTED_VALUE"""),42.44)</f>
        <v>42.44</v>
      </c>
      <c r="E2052" s="1">
        <f>IFERROR(__xludf.DUMMYFUNCTION("""COMPUTED_VALUE"""),42.98)</f>
        <v>42.98</v>
      </c>
      <c r="F2052" s="1">
        <f>IFERROR(__xludf.DUMMYFUNCTION("""COMPUTED_VALUE"""),178517.0)</f>
        <v>178517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IFERROR(__xludf.DUMMYFUNCTION("""COMPUTED_VALUE"""),42.87)</f>
        <v>42.87</v>
      </c>
      <c r="C2053" s="1">
        <f>IFERROR(__xludf.DUMMYFUNCTION("""COMPUTED_VALUE"""),43.58)</f>
        <v>43.58</v>
      </c>
      <c r="D2053" s="1">
        <f>IFERROR(__xludf.DUMMYFUNCTION("""COMPUTED_VALUE"""),42.17)</f>
        <v>42.17</v>
      </c>
      <c r="E2053" s="1">
        <f>IFERROR(__xludf.DUMMYFUNCTION("""COMPUTED_VALUE"""),42.2)</f>
        <v>42.2</v>
      </c>
      <c r="F2053" s="1">
        <f>IFERROR(__xludf.DUMMYFUNCTION("""COMPUTED_VALUE"""),254255.0)</f>
        <v>254255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IFERROR(__xludf.DUMMYFUNCTION("""COMPUTED_VALUE"""),42.12)</f>
        <v>42.12</v>
      </c>
      <c r="C2054" s="1">
        <f>IFERROR(__xludf.DUMMYFUNCTION("""COMPUTED_VALUE"""),42.48)</f>
        <v>42.48</v>
      </c>
      <c r="D2054" s="1">
        <f>IFERROR(__xludf.DUMMYFUNCTION("""COMPUTED_VALUE"""),41.03)</f>
        <v>41.03</v>
      </c>
      <c r="E2054" s="1">
        <f>IFERROR(__xludf.DUMMYFUNCTION("""COMPUTED_VALUE"""),41.06)</f>
        <v>41.06</v>
      </c>
      <c r="F2054" s="1">
        <f>IFERROR(__xludf.DUMMYFUNCTION("""COMPUTED_VALUE"""),275588.0)</f>
        <v>275588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IFERROR(__xludf.DUMMYFUNCTION("""COMPUTED_VALUE"""),41.0)</f>
        <v>41</v>
      </c>
      <c r="C2055" s="1">
        <f>IFERROR(__xludf.DUMMYFUNCTION("""COMPUTED_VALUE"""),41.4)</f>
        <v>41.4</v>
      </c>
      <c r="D2055" s="1">
        <f>IFERROR(__xludf.DUMMYFUNCTION("""COMPUTED_VALUE"""),40.77)</f>
        <v>40.77</v>
      </c>
      <c r="E2055" s="1">
        <f>IFERROR(__xludf.DUMMYFUNCTION("""COMPUTED_VALUE"""),41.22)</f>
        <v>41.22</v>
      </c>
      <c r="F2055" s="1">
        <f>IFERROR(__xludf.DUMMYFUNCTION("""COMPUTED_VALUE"""),424902.0)</f>
        <v>424902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IFERROR(__xludf.DUMMYFUNCTION("""COMPUTED_VALUE"""),40.93)</f>
        <v>40.93</v>
      </c>
      <c r="C2056" s="1">
        <f>IFERROR(__xludf.DUMMYFUNCTION("""COMPUTED_VALUE"""),42.13)</f>
        <v>42.13</v>
      </c>
      <c r="D2056" s="1">
        <f>IFERROR(__xludf.DUMMYFUNCTION("""COMPUTED_VALUE"""),40.51)</f>
        <v>40.51</v>
      </c>
      <c r="E2056" s="1">
        <f>IFERROR(__xludf.DUMMYFUNCTION("""COMPUTED_VALUE"""),41.95)</f>
        <v>41.95</v>
      </c>
      <c r="F2056" s="1">
        <f>IFERROR(__xludf.DUMMYFUNCTION("""COMPUTED_VALUE"""),350574.0)</f>
        <v>350574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IFERROR(__xludf.DUMMYFUNCTION("""COMPUTED_VALUE"""),41.62)</f>
        <v>41.62</v>
      </c>
      <c r="C2057" s="1">
        <f>IFERROR(__xludf.DUMMYFUNCTION("""COMPUTED_VALUE"""),42.64)</f>
        <v>42.64</v>
      </c>
      <c r="D2057" s="1">
        <f>IFERROR(__xludf.DUMMYFUNCTION("""COMPUTED_VALUE"""),41.24)</f>
        <v>41.24</v>
      </c>
      <c r="E2057" s="1">
        <f>IFERROR(__xludf.DUMMYFUNCTION("""COMPUTED_VALUE"""),42.36)</f>
        <v>42.36</v>
      </c>
      <c r="F2057" s="1">
        <f>IFERROR(__xludf.DUMMYFUNCTION("""COMPUTED_VALUE"""),270276.0)</f>
        <v>270276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IFERROR(__xludf.DUMMYFUNCTION("""COMPUTED_VALUE"""),42.59)</f>
        <v>42.59</v>
      </c>
      <c r="C2058" s="1">
        <f>IFERROR(__xludf.DUMMYFUNCTION("""COMPUTED_VALUE"""),43.31)</f>
        <v>43.31</v>
      </c>
      <c r="D2058" s="1">
        <f>IFERROR(__xludf.DUMMYFUNCTION("""COMPUTED_VALUE"""),42.11)</f>
        <v>42.11</v>
      </c>
      <c r="E2058" s="1">
        <f>IFERROR(__xludf.DUMMYFUNCTION("""COMPUTED_VALUE"""),43.26)</f>
        <v>43.26</v>
      </c>
      <c r="F2058" s="1">
        <f>IFERROR(__xludf.DUMMYFUNCTION("""COMPUTED_VALUE"""),504576.0)</f>
        <v>504576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IFERROR(__xludf.DUMMYFUNCTION("""COMPUTED_VALUE"""),43.01)</f>
        <v>43.01</v>
      </c>
      <c r="C2059" s="1">
        <f>IFERROR(__xludf.DUMMYFUNCTION("""COMPUTED_VALUE"""),43.75)</f>
        <v>43.75</v>
      </c>
      <c r="D2059" s="1">
        <f>IFERROR(__xludf.DUMMYFUNCTION("""COMPUTED_VALUE"""),42.69)</f>
        <v>42.69</v>
      </c>
      <c r="E2059" s="1">
        <f>IFERROR(__xludf.DUMMYFUNCTION("""COMPUTED_VALUE"""),43.21)</f>
        <v>43.21</v>
      </c>
      <c r="F2059" s="1">
        <f>IFERROR(__xludf.DUMMYFUNCTION("""COMPUTED_VALUE"""),575122.0)</f>
        <v>575122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IFERROR(__xludf.DUMMYFUNCTION("""COMPUTED_VALUE"""),43.4)</f>
        <v>43.4</v>
      </c>
      <c r="C2060" s="1">
        <f>IFERROR(__xludf.DUMMYFUNCTION("""COMPUTED_VALUE"""),43.52)</f>
        <v>43.52</v>
      </c>
      <c r="D2060" s="1">
        <f>IFERROR(__xludf.DUMMYFUNCTION("""COMPUTED_VALUE"""),42.58)</f>
        <v>42.58</v>
      </c>
      <c r="E2060" s="1">
        <f>IFERROR(__xludf.DUMMYFUNCTION("""COMPUTED_VALUE"""),42.85)</f>
        <v>42.85</v>
      </c>
      <c r="F2060" s="1">
        <f>IFERROR(__xludf.DUMMYFUNCTION("""COMPUTED_VALUE"""),212235.0)</f>
        <v>212235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IFERROR(__xludf.DUMMYFUNCTION("""COMPUTED_VALUE"""),43.57)</f>
        <v>43.57</v>
      </c>
      <c r="C2061" s="1">
        <f>IFERROR(__xludf.DUMMYFUNCTION("""COMPUTED_VALUE"""),43.93)</f>
        <v>43.93</v>
      </c>
      <c r="D2061" s="1">
        <f>IFERROR(__xludf.DUMMYFUNCTION("""COMPUTED_VALUE"""),43.09)</f>
        <v>43.09</v>
      </c>
      <c r="E2061" s="1">
        <f>IFERROR(__xludf.DUMMYFUNCTION("""COMPUTED_VALUE"""),43.8)</f>
        <v>43.8</v>
      </c>
      <c r="F2061" s="1">
        <f>IFERROR(__xludf.DUMMYFUNCTION("""COMPUTED_VALUE"""),229633.0)</f>
        <v>229633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IFERROR(__xludf.DUMMYFUNCTION("""COMPUTED_VALUE"""),43.84)</f>
        <v>43.84</v>
      </c>
      <c r="C2062" s="1">
        <f>IFERROR(__xludf.DUMMYFUNCTION("""COMPUTED_VALUE"""),43.89)</f>
        <v>43.89</v>
      </c>
      <c r="D2062" s="1">
        <f>IFERROR(__xludf.DUMMYFUNCTION("""COMPUTED_VALUE"""),43.15)</f>
        <v>43.15</v>
      </c>
      <c r="E2062" s="1">
        <f>IFERROR(__xludf.DUMMYFUNCTION("""COMPUTED_VALUE"""),43.51)</f>
        <v>43.51</v>
      </c>
      <c r="F2062" s="1">
        <f>IFERROR(__xludf.DUMMYFUNCTION("""COMPUTED_VALUE"""),260610.0)</f>
        <v>260610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IFERROR(__xludf.DUMMYFUNCTION("""COMPUTED_VALUE"""),43.55)</f>
        <v>43.55</v>
      </c>
      <c r="C2063" s="1">
        <f>IFERROR(__xludf.DUMMYFUNCTION("""COMPUTED_VALUE"""),43.76)</f>
        <v>43.76</v>
      </c>
      <c r="D2063" s="1">
        <f>IFERROR(__xludf.DUMMYFUNCTION("""COMPUTED_VALUE"""),43.08)</f>
        <v>43.08</v>
      </c>
      <c r="E2063" s="1">
        <f>IFERROR(__xludf.DUMMYFUNCTION("""COMPUTED_VALUE"""),43.21)</f>
        <v>43.21</v>
      </c>
      <c r="F2063" s="1">
        <f>IFERROR(__xludf.DUMMYFUNCTION("""COMPUTED_VALUE"""),344905.0)</f>
        <v>344905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IFERROR(__xludf.DUMMYFUNCTION("""COMPUTED_VALUE"""),43.37)</f>
        <v>43.37</v>
      </c>
      <c r="C2064" s="1">
        <f>IFERROR(__xludf.DUMMYFUNCTION("""COMPUTED_VALUE"""),43.37)</f>
        <v>43.37</v>
      </c>
      <c r="D2064" s="1">
        <f>IFERROR(__xludf.DUMMYFUNCTION("""COMPUTED_VALUE"""),42.43)</f>
        <v>42.43</v>
      </c>
      <c r="E2064" s="1">
        <f>IFERROR(__xludf.DUMMYFUNCTION("""COMPUTED_VALUE"""),42.56)</f>
        <v>42.56</v>
      </c>
      <c r="F2064" s="1">
        <f>IFERROR(__xludf.DUMMYFUNCTION("""COMPUTED_VALUE"""),243445.0)</f>
        <v>243445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IFERROR(__xludf.DUMMYFUNCTION("""COMPUTED_VALUE"""),42.74)</f>
        <v>42.74</v>
      </c>
      <c r="C2065" s="1">
        <f>IFERROR(__xludf.DUMMYFUNCTION("""COMPUTED_VALUE"""),42.86)</f>
        <v>42.86</v>
      </c>
      <c r="D2065" s="1">
        <f>IFERROR(__xludf.DUMMYFUNCTION("""COMPUTED_VALUE"""),42.16)</f>
        <v>42.16</v>
      </c>
      <c r="E2065" s="1">
        <f>IFERROR(__xludf.DUMMYFUNCTION("""COMPUTED_VALUE"""),42.83)</f>
        <v>42.83</v>
      </c>
      <c r="F2065" s="1">
        <f>IFERROR(__xludf.DUMMYFUNCTION("""COMPUTED_VALUE"""),290884.0)</f>
        <v>290884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IFERROR(__xludf.DUMMYFUNCTION("""COMPUTED_VALUE"""),42.87)</f>
        <v>42.87</v>
      </c>
      <c r="C2066" s="1">
        <f>IFERROR(__xludf.DUMMYFUNCTION("""COMPUTED_VALUE"""),43.28)</f>
        <v>43.28</v>
      </c>
      <c r="D2066" s="1">
        <f>IFERROR(__xludf.DUMMYFUNCTION("""COMPUTED_VALUE"""),42.5)</f>
        <v>42.5</v>
      </c>
      <c r="E2066" s="1">
        <f>IFERROR(__xludf.DUMMYFUNCTION("""COMPUTED_VALUE"""),42.8)</f>
        <v>42.8</v>
      </c>
      <c r="F2066" s="1">
        <f>IFERROR(__xludf.DUMMYFUNCTION("""COMPUTED_VALUE"""),1151121.0)</f>
        <v>1151121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IFERROR(__xludf.DUMMYFUNCTION("""COMPUTED_VALUE"""),42.8)</f>
        <v>42.8</v>
      </c>
      <c r="C2067" s="1">
        <f>IFERROR(__xludf.DUMMYFUNCTION("""COMPUTED_VALUE"""),42.8)</f>
        <v>42.8</v>
      </c>
      <c r="D2067" s="1">
        <f>IFERROR(__xludf.DUMMYFUNCTION("""COMPUTED_VALUE"""),42.03)</f>
        <v>42.03</v>
      </c>
      <c r="E2067" s="1">
        <f>IFERROR(__xludf.DUMMYFUNCTION("""COMPUTED_VALUE"""),42.58)</f>
        <v>42.58</v>
      </c>
      <c r="F2067" s="1">
        <f>IFERROR(__xludf.DUMMYFUNCTION("""COMPUTED_VALUE"""),247558.0)</f>
        <v>247558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IFERROR(__xludf.DUMMYFUNCTION("""COMPUTED_VALUE"""),42.79)</f>
        <v>42.79</v>
      </c>
      <c r="C2068" s="1">
        <f>IFERROR(__xludf.DUMMYFUNCTION("""COMPUTED_VALUE"""),42.81)</f>
        <v>42.81</v>
      </c>
      <c r="D2068" s="1">
        <f>IFERROR(__xludf.DUMMYFUNCTION("""COMPUTED_VALUE"""),42.12)</f>
        <v>42.12</v>
      </c>
      <c r="E2068" s="1">
        <f>IFERROR(__xludf.DUMMYFUNCTION("""COMPUTED_VALUE"""),42.25)</f>
        <v>42.25</v>
      </c>
      <c r="F2068" s="1">
        <f>IFERROR(__xludf.DUMMYFUNCTION("""COMPUTED_VALUE"""),209878.0)</f>
        <v>209878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IFERROR(__xludf.DUMMYFUNCTION("""COMPUTED_VALUE"""),42.43)</f>
        <v>42.43</v>
      </c>
      <c r="C2069" s="1">
        <f>IFERROR(__xludf.DUMMYFUNCTION("""COMPUTED_VALUE"""),42.82)</f>
        <v>42.82</v>
      </c>
      <c r="D2069" s="1">
        <f>IFERROR(__xludf.DUMMYFUNCTION("""COMPUTED_VALUE"""),41.58)</f>
        <v>41.58</v>
      </c>
      <c r="E2069" s="1">
        <f>IFERROR(__xludf.DUMMYFUNCTION("""COMPUTED_VALUE"""),42.35)</f>
        <v>42.35</v>
      </c>
      <c r="F2069" s="1">
        <f>IFERROR(__xludf.DUMMYFUNCTION("""COMPUTED_VALUE"""),403850.0)</f>
        <v>403850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IFERROR(__xludf.DUMMYFUNCTION("""COMPUTED_VALUE"""),41.76)</f>
        <v>41.76</v>
      </c>
      <c r="C2070" s="1">
        <f>IFERROR(__xludf.DUMMYFUNCTION("""COMPUTED_VALUE"""),41.95)</f>
        <v>41.95</v>
      </c>
      <c r="D2070" s="1">
        <f>IFERROR(__xludf.DUMMYFUNCTION("""COMPUTED_VALUE"""),40.99)</f>
        <v>40.99</v>
      </c>
      <c r="E2070" s="1">
        <f>IFERROR(__xludf.DUMMYFUNCTION("""COMPUTED_VALUE"""),40.99)</f>
        <v>40.99</v>
      </c>
      <c r="F2070" s="1">
        <f>IFERROR(__xludf.DUMMYFUNCTION("""COMPUTED_VALUE"""),678753.0)</f>
        <v>678753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IFERROR(__xludf.DUMMYFUNCTION("""COMPUTED_VALUE"""),41.04)</f>
        <v>41.04</v>
      </c>
      <c r="C2071" s="1">
        <f>IFERROR(__xludf.DUMMYFUNCTION("""COMPUTED_VALUE"""),41.07)</f>
        <v>41.07</v>
      </c>
      <c r="D2071" s="1">
        <f>IFERROR(__xludf.DUMMYFUNCTION("""COMPUTED_VALUE"""),39.06)</f>
        <v>39.06</v>
      </c>
      <c r="E2071" s="1">
        <f>IFERROR(__xludf.DUMMYFUNCTION("""COMPUTED_VALUE"""),39.06)</f>
        <v>39.06</v>
      </c>
      <c r="F2071" s="1">
        <f>IFERROR(__xludf.DUMMYFUNCTION("""COMPUTED_VALUE"""),477337.0)</f>
        <v>477337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IFERROR(__xludf.DUMMYFUNCTION("""COMPUTED_VALUE"""),39.68)</f>
        <v>39.68</v>
      </c>
      <c r="C2072" s="1">
        <f>IFERROR(__xludf.DUMMYFUNCTION("""COMPUTED_VALUE"""),40.29)</f>
        <v>40.29</v>
      </c>
      <c r="D2072" s="1">
        <f>IFERROR(__xludf.DUMMYFUNCTION("""COMPUTED_VALUE"""),39.35)</f>
        <v>39.35</v>
      </c>
      <c r="E2072" s="1">
        <f>IFERROR(__xludf.DUMMYFUNCTION("""COMPUTED_VALUE"""),40.26)</f>
        <v>40.26</v>
      </c>
      <c r="F2072" s="1">
        <f>IFERROR(__xludf.DUMMYFUNCTION("""COMPUTED_VALUE"""),425594.0)</f>
        <v>425594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IFERROR(__xludf.DUMMYFUNCTION("""COMPUTED_VALUE"""),40.28)</f>
        <v>40.28</v>
      </c>
      <c r="C2073" s="1">
        <f>IFERROR(__xludf.DUMMYFUNCTION("""COMPUTED_VALUE"""),40.41)</f>
        <v>40.41</v>
      </c>
      <c r="D2073" s="1">
        <f>IFERROR(__xludf.DUMMYFUNCTION("""COMPUTED_VALUE"""),39.29)</f>
        <v>39.29</v>
      </c>
      <c r="E2073" s="1">
        <f>IFERROR(__xludf.DUMMYFUNCTION("""COMPUTED_VALUE"""),39.51)</f>
        <v>39.51</v>
      </c>
      <c r="F2073" s="1">
        <f>IFERROR(__xludf.DUMMYFUNCTION("""COMPUTED_VALUE"""),569179.0)</f>
        <v>569179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IFERROR(__xludf.DUMMYFUNCTION("""COMPUTED_VALUE"""),39.59)</f>
        <v>39.59</v>
      </c>
      <c r="C2074" s="1">
        <f>IFERROR(__xludf.DUMMYFUNCTION("""COMPUTED_VALUE"""),40.16)</f>
        <v>40.16</v>
      </c>
      <c r="D2074" s="1">
        <f>IFERROR(__xludf.DUMMYFUNCTION("""COMPUTED_VALUE"""),39.3)</f>
        <v>39.3</v>
      </c>
      <c r="E2074" s="1">
        <f>IFERROR(__xludf.DUMMYFUNCTION("""COMPUTED_VALUE"""),39.88)</f>
        <v>39.88</v>
      </c>
      <c r="F2074" s="1">
        <f>IFERROR(__xludf.DUMMYFUNCTION("""COMPUTED_VALUE"""),300079.0)</f>
        <v>300079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IFERROR(__xludf.DUMMYFUNCTION("""COMPUTED_VALUE"""),40.17)</f>
        <v>40.17</v>
      </c>
      <c r="C2075" s="1">
        <f>IFERROR(__xludf.DUMMYFUNCTION("""COMPUTED_VALUE"""),40.39)</f>
        <v>40.39</v>
      </c>
      <c r="D2075" s="1">
        <f>IFERROR(__xludf.DUMMYFUNCTION("""COMPUTED_VALUE"""),39.85)</f>
        <v>39.85</v>
      </c>
      <c r="E2075" s="1">
        <f>IFERROR(__xludf.DUMMYFUNCTION("""COMPUTED_VALUE"""),39.98)</f>
        <v>39.98</v>
      </c>
      <c r="F2075" s="1">
        <f>IFERROR(__xludf.DUMMYFUNCTION("""COMPUTED_VALUE"""),467094.0)</f>
        <v>467094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IFERROR(__xludf.DUMMYFUNCTION("""COMPUTED_VALUE"""),39.95)</f>
        <v>39.95</v>
      </c>
      <c r="C2076" s="1">
        <f>IFERROR(__xludf.DUMMYFUNCTION("""COMPUTED_VALUE"""),40.19)</f>
        <v>40.19</v>
      </c>
      <c r="D2076" s="1">
        <f>IFERROR(__xludf.DUMMYFUNCTION("""COMPUTED_VALUE"""),38.49)</f>
        <v>38.49</v>
      </c>
      <c r="E2076" s="1">
        <f>IFERROR(__xludf.DUMMYFUNCTION("""COMPUTED_VALUE"""),38.94)</f>
        <v>38.94</v>
      </c>
      <c r="F2076" s="1">
        <f>IFERROR(__xludf.DUMMYFUNCTION("""COMPUTED_VALUE"""),312539.0)</f>
        <v>312539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IFERROR(__xludf.DUMMYFUNCTION("""COMPUTED_VALUE"""),39.13)</f>
        <v>39.13</v>
      </c>
      <c r="C2077" s="1">
        <f>IFERROR(__xludf.DUMMYFUNCTION("""COMPUTED_VALUE"""),39.75)</f>
        <v>39.75</v>
      </c>
      <c r="D2077" s="1">
        <f>IFERROR(__xludf.DUMMYFUNCTION("""COMPUTED_VALUE"""),38.96)</f>
        <v>38.96</v>
      </c>
      <c r="E2077" s="1">
        <f>IFERROR(__xludf.DUMMYFUNCTION("""COMPUTED_VALUE"""),39.66)</f>
        <v>39.66</v>
      </c>
      <c r="F2077" s="1">
        <f>IFERROR(__xludf.DUMMYFUNCTION("""COMPUTED_VALUE"""),566181.0)</f>
        <v>566181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IFERROR(__xludf.DUMMYFUNCTION("""COMPUTED_VALUE"""),39.04)</f>
        <v>39.04</v>
      </c>
      <c r="C2078" s="1">
        <f>IFERROR(__xludf.DUMMYFUNCTION("""COMPUTED_VALUE"""),40.07)</f>
        <v>40.07</v>
      </c>
      <c r="D2078" s="1">
        <f>IFERROR(__xludf.DUMMYFUNCTION("""COMPUTED_VALUE"""),38.91)</f>
        <v>38.91</v>
      </c>
      <c r="E2078" s="1">
        <f>IFERROR(__xludf.DUMMYFUNCTION("""COMPUTED_VALUE"""),39.93)</f>
        <v>39.93</v>
      </c>
      <c r="F2078" s="1">
        <f>IFERROR(__xludf.DUMMYFUNCTION("""COMPUTED_VALUE"""),286044.0)</f>
        <v>286044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IFERROR(__xludf.DUMMYFUNCTION("""COMPUTED_VALUE"""),40.17)</f>
        <v>40.17</v>
      </c>
      <c r="C2079" s="1">
        <f>IFERROR(__xludf.DUMMYFUNCTION("""COMPUTED_VALUE"""),40.23)</f>
        <v>40.23</v>
      </c>
      <c r="D2079" s="1">
        <f>IFERROR(__xludf.DUMMYFUNCTION("""COMPUTED_VALUE"""),39.8)</f>
        <v>39.8</v>
      </c>
      <c r="E2079" s="1">
        <f>IFERROR(__xludf.DUMMYFUNCTION("""COMPUTED_VALUE"""),40.17)</f>
        <v>40.17</v>
      </c>
      <c r="F2079" s="1">
        <f>IFERROR(__xludf.DUMMYFUNCTION("""COMPUTED_VALUE"""),293735.0)</f>
        <v>293735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IFERROR(__xludf.DUMMYFUNCTION("""COMPUTED_VALUE"""),39.84)</f>
        <v>39.84</v>
      </c>
      <c r="C2080" s="1">
        <f>IFERROR(__xludf.DUMMYFUNCTION("""COMPUTED_VALUE"""),39.93)</f>
        <v>39.93</v>
      </c>
      <c r="D2080" s="1">
        <f>IFERROR(__xludf.DUMMYFUNCTION("""COMPUTED_VALUE"""),38.46)</f>
        <v>38.46</v>
      </c>
      <c r="E2080" s="1">
        <f>IFERROR(__xludf.DUMMYFUNCTION("""COMPUTED_VALUE"""),38.98)</f>
        <v>38.98</v>
      </c>
      <c r="F2080" s="1">
        <f>IFERROR(__xludf.DUMMYFUNCTION("""COMPUTED_VALUE"""),327261.0)</f>
        <v>327261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IFERROR(__xludf.DUMMYFUNCTION("""COMPUTED_VALUE"""),39.29)</f>
        <v>39.29</v>
      </c>
      <c r="C2081" s="1">
        <f>IFERROR(__xludf.DUMMYFUNCTION("""COMPUTED_VALUE"""),39.78)</f>
        <v>39.78</v>
      </c>
      <c r="D2081" s="1">
        <f>IFERROR(__xludf.DUMMYFUNCTION("""COMPUTED_VALUE"""),38.73)</f>
        <v>38.73</v>
      </c>
      <c r="E2081" s="1">
        <f>IFERROR(__xludf.DUMMYFUNCTION("""COMPUTED_VALUE"""),38.76)</f>
        <v>38.76</v>
      </c>
      <c r="F2081" s="1">
        <f>IFERROR(__xludf.DUMMYFUNCTION("""COMPUTED_VALUE"""),320726.0)</f>
        <v>320726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IFERROR(__xludf.DUMMYFUNCTION("""COMPUTED_VALUE"""),39.35)</f>
        <v>39.35</v>
      </c>
      <c r="C2082" s="1">
        <f>IFERROR(__xludf.DUMMYFUNCTION("""COMPUTED_VALUE"""),40.05)</f>
        <v>40.05</v>
      </c>
      <c r="D2082" s="1">
        <f>IFERROR(__xludf.DUMMYFUNCTION("""COMPUTED_VALUE"""),39.02)</f>
        <v>39.02</v>
      </c>
      <c r="E2082" s="1">
        <f>IFERROR(__xludf.DUMMYFUNCTION("""COMPUTED_VALUE"""),39.78)</f>
        <v>39.78</v>
      </c>
      <c r="F2082" s="1">
        <f>IFERROR(__xludf.DUMMYFUNCTION("""COMPUTED_VALUE"""),371941.0)</f>
        <v>371941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IFERROR(__xludf.DUMMYFUNCTION("""COMPUTED_VALUE"""),39.44)</f>
        <v>39.44</v>
      </c>
      <c r="C2083" s="1">
        <f>IFERROR(__xludf.DUMMYFUNCTION("""COMPUTED_VALUE"""),39.71)</f>
        <v>39.71</v>
      </c>
      <c r="D2083" s="1">
        <f>IFERROR(__xludf.DUMMYFUNCTION("""COMPUTED_VALUE"""),39.27)</f>
        <v>39.27</v>
      </c>
      <c r="E2083" s="1">
        <f>IFERROR(__xludf.DUMMYFUNCTION("""COMPUTED_VALUE"""),39.49)</f>
        <v>39.49</v>
      </c>
      <c r="F2083" s="1">
        <f>IFERROR(__xludf.DUMMYFUNCTION("""COMPUTED_VALUE"""),196652.0)</f>
        <v>196652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IFERROR(__xludf.DUMMYFUNCTION("""COMPUTED_VALUE"""),39.82)</f>
        <v>39.82</v>
      </c>
      <c r="C2084" s="1">
        <f>IFERROR(__xludf.DUMMYFUNCTION("""COMPUTED_VALUE"""),40.38)</f>
        <v>40.38</v>
      </c>
      <c r="D2084" s="1">
        <f>IFERROR(__xludf.DUMMYFUNCTION("""COMPUTED_VALUE"""),39.71)</f>
        <v>39.71</v>
      </c>
      <c r="E2084" s="1">
        <f>IFERROR(__xludf.DUMMYFUNCTION("""COMPUTED_VALUE"""),40.12)</f>
        <v>40.12</v>
      </c>
      <c r="F2084" s="1">
        <f>IFERROR(__xludf.DUMMYFUNCTION("""COMPUTED_VALUE"""),185126.0)</f>
        <v>185126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IFERROR(__xludf.DUMMYFUNCTION("""COMPUTED_VALUE"""),40.45)</f>
        <v>40.45</v>
      </c>
      <c r="C2085" s="1">
        <f>IFERROR(__xludf.DUMMYFUNCTION("""COMPUTED_VALUE"""),40.45)</f>
        <v>40.45</v>
      </c>
      <c r="D2085" s="1">
        <f>IFERROR(__xludf.DUMMYFUNCTION("""COMPUTED_VALUE"""),39.33)</f>
        <v>39.33</v>
      </c>
      <c r="E2085" s="1">
        <f>IFERROR(__xludf.DUMMYFUNCTION("""COMPUTED_VALUE"""),39.5)</f>
        <v>39.5</v>
      </c>
      <c r="F2085" s="1">
        <f>IFERROR(__xludf.DUMMYFUNCTION("""COMPUTED_VALUE"""),226340.0)</f>
        <v>226340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IFERROR(__xludf.DUMMYFUNCTION("""COMPUTED_VALUE"""),39.67)</f>
        <v>39.67</v>
      </c>
      <c r="C2086" s="1">
        <f>IFERROR(__xludf.DUMMYFUNCTION("""COMPUTED_VALUE"""),39.91)</f>
        <v>39.91</v>
      </c>
      <c r="D2086" s="1">
        <f>IFERROR(__xludf.DUMMYFUNCTION("""COMPUTED_VALUE"""),39.37)</f>
        <v>39.37</v>
      </c>
      <c r="E2086" s="1">
        <f>IFERROR(__xludf.DUMMYFUNCTION("""COMPUTED_VALUE"""),39.7)</f>
        <v>39.7</v>
      </c>
      <c r="F2086" s="1">
        <f>IFERROR(__xludf.DUMMYFUNCTION("""COMPUTED_VALUE"""),332324.0)</f>
        <v>332324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IFERROR(__xludf.DUMMYFUNCTION("""COMPUTED_VALUE"""),39.88)</f>
        <v>39.88</v>
      </c>
      <c r="C2087" s="1">
        <f>IFERROR(__xludf.DUMMYFUNCTION("""COMPUTED_VALUE"""),39.95)</f>
        <v>39.95</v>
      </c>
      <c r="D2087" s="1">
        <f>IFERROR(__xludf.DUMMYFUNCTION("""COMPUTED_VALUE"""),39.04)</f>
        <v>39.04</v>
      </c>
      <c r="E2087" s="1">
        <f>IFERROR(__xludf.DUMMYFUNCTION("""COMPUTED_VALUE"""),39.23)</f>
        <v>39.23</v>
      </c>
      <c r="F2087" s="1">
        <f>IFERROR(__xludf.DUMMYFUNCTION("""COMPUTED_VALUE"""),347163.0)</f>
        <v>347163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IFERROR(__xludf.DUMMYFUNCTION("""COMPUTED_VALUE"""),39.28)</f>
        <v>39.28</v>
      </c>
      <c r="C2088" s="1">
        <f>IFERROR(__xludf.DUMMYFUNCTION("""COMPUTED_VALUE"""),39.43)</f>
        <v>39.43</v>
      </c>
      <c r="D2088" s="1">
        <f>IFERROR(__xludf.DUMMYFUNCTION("""COMPUTED_VALUE"""),38.95)</f>
        <v>38.95</v>
      </c>
      <c r="E2088" s="1">
        <f>IFERROR(__xludf.DUMMYFUNCTION("""COMPUTED_VALUE"""),39.3)</f>
        <v>39.3</v>
      </c>
      <c r="F2088" s="1">
        <f>IFERROR(__xludf.DUMMYFUNCTION("""COMPUTED_VALUE"""),540031.0)</f>
        <v>540031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IFERROR(__xludf.DUMMYFUNCTION("""COMPUTED_VALUE"""),41.0)</f>
        <v>41</v>
      </c>
      <c r="C2089" s="1">
        <f>IFERROR(__xludf.DUMMYFUNCTION("""COMPUTED_VALUE"""),41.0)</f>
        <v>41</v>
      </c>
      <c r="D2089" s="1">
        <f>IFERROR(__xludf.DUMMYFUNCTION("""COMPUTED_VALUE"""),39.74)</f>
        <v>39.74</v>
      </c>
      <c r="E2089" s="1">
        <f>IFERROR(__xludf.DUMMYFUNCTION("""COMPUTED_VALUE"""),40.46)</f>
        <v>40.46</v>
      </c>
      <c r="F2089" s="1">
        <f>IFERROR(__xludf.DUMMYFUNCTION("""COMPUTED_VALUE"""),631198.0)</f>
        <v>631198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IFERROR(__xludf.DUMMYFUNCTION("""COMPUTED_VALUE"""),41.0)</f>
        <v>41</v>
      </c>
      <c r="C2090" s="1">
        <f>IFERROR(__xludf.DUMMYFUNCTION("""COMPUTED_VALUE"""),41.0)</f>
        <v>41</v>
      </c>
      <c r="D2090" s="1">
        <f>IFERROR(__xludf.DUMMYFUNCTION("""COMPUTED_VALUE"""),39.74)</f>
        <v>39.74</v>
      </c>
      <c r="E2090" s="1">
        <f>IFERROR(__xludf.DUMMYFUNCTION("""COMPUTED_VALUE"""),40.46)</f>
        <v>40.46</v>
      </c>
      <c r="F2090" s="1">
        <f>IFERROR(__xludf.DUMMYFUNCTION("""COMPUTED_VALUE"""),631198.0)</f>
        <v>631198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IFERROR(__xludf.DUMMYFUNCTION("""COMPUTED_VALUE"""),40.37)</f>
        <v>40.37</v>
      </c>
      <c r="C2091" s="1">
        <f>IFERROR(__xludf.DUMMYFUNCTION("""COMPUTED_VALUE"""),40.75)</f>
        <v>40.75</v>
      </c>
      <c r="D2091" s="1">
        <f>IFERROR(__xludf.DUMMYFUNCTION("""COMPUTED_VALUE"""),40.21)</f>
        <v>40.21</v>
      </c>
      <c r="E2091" s="1">
        <f>IFERROR(__xludf.DUMMYFUNCTION("""COMPUTED_VALUE"""),40.46)</f>
        <v>40.46</v>
      </c>
      <c r="F2091" s="1">
        <f>IFERROR(__xludf.DUMMYFUNCTION("""COMPUTED_VALUE"""),766368.0)</f>
        <v>766368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IFERROR(__xludf.DUMMYFUNCTION("""COMPUTED_VALUE"""),40.68)</f>
        <v>40.68</v>
      </c>
      <c r="C2092" s="1">
        <f>IFERROR(__xludf.DUMMYFUNCTION("""COMPUTED_VALUE"""),41.12)</f>
        <v>41.12</v>
      </c>
      <c r="D2092" s="1">
        <f>IFERROR(__xludf.DUMMYFUNCTION("""COMPUTED_VALUE"""),40.09)</f>
        <v>40.09</v>
      </c>
      <c r="E2092" s="1">
        <f>IFERROR(__xludf.DUMMYFUNCTION("""COMPUTED_VALUE"""),40.37)</f>
        <v>40.37</v>
      </c>
      <c r="F2092" s="1">
        <f>IFERROR(__xludf.DUMMYFUNCTION("""COMPUTED_VALUE"""),665979.0)</f>
        <v>665979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IFERROR(__xludf.DUMMYFUNCTION("""COMPUTED_VALUE"""),40.29)</f>
        <v>40.29</v>
      </c>
      <c r="C2093" s="1">
        <f>IFERROR(__xludf.DUMMYFUNCTION("""COMPUTED_VALUE"""),40.56)</f>
        <v>40.56</v>
      </c>
      <c r="D2093" s="1">
        <f>IFERROR(__xludf.DUMMYFUNCTION("""COMPUTED_VALUE"""),39.97)</f>
        <v>39.97</v>
      </c>
      <c r="E2093" s="1">
        <f>IFERROR(__xludf.DUMMYFUNCTION("""COMPUTED_VALUE"""),40.1)</f>
        <v>40.1</v>
      </c>
      <c r="F2093" s="1">
        <f>IFERROR(__xludf.DUMMYFUNCTION("""COMPUTED_VALUE"""),634465.0)</f>
        <v>634465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IFERROR(__xludf.DUMMYFUNCTION("""COMPUTED_VALUE"""),40.17)</f>
        <v>40.17</v>
      </c>
      <c r="C2094" s="1">
        <f>IFERROR(__xludf.DUMMYFUNCTION("""COMPUTED_VALUE"""),41.03)</f>
        <v>41.03</v>
      </c>
      <c r="D2094" s="1">
        <f>IFERROR(__xludf.DUMMYFUNCTION("""COMPUTED_VALUE"""),39.94)</f>
        <v>39.94</v>
      </c>
      <c r="E2094" s="1">
        <f>IFERROR(__xludf.DUMMYFUNCTION("""COMPUTED_VALUE"""),40.51)</f>
        <v>40.51</v>
      </c>
      <c r="F2094" s="1">
        <f>IFERROR(__xludf.DUMMYFUNCTION("""COMPUTED_VALUE"""),440341.0)</f>
        <v>440341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IFERROR(__xludf.DUMMYFUNCTION("""COMPUTED_VALUE"""),40.5)</f>
        <v>40.5</v>
      </c>
      <c r="C2095" s="1">
        <f>IFERROR(__xludf.DUMMYFUNCTION("""COMPUTED_VALUE"""),41.18)</f>
        <v>41.18</v>
      </c>
      <c r="D2095" s="1">
        <f>IFERROR(__xludf.DUMMYFUNCTION("""COMPUTED_VALUE"""),40.5)</f>
        <v>40.5</v>
      </c>
      <c r="E2095" s="1">
        <f>IFERROR(__xludf.DUMMYFUNCTION("""COMPUTED_VALUE"""),40.86)</f>
        <v>40.86</v>
      </c>
      <c r="F2095" s="1">
        <f>IFERROR(__xludf.DUMMYFUNCTION("""COMPUTED_VALUE"""),276679.0)</f>
        <v>276679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IFERROR(__xludf.DUMMYFUNCTION("""COMPUTED_VALUE"""),40.86)</f>
        <v>40.86</v>
      </c>
      <c r="C2096" s="1">
        <f>IFERROR(__xludf.DUMMYFUNCTION("""COMPUTED_VALUE"""),41.1)</f>
        <v>41.1</v>
      </c>
      <c r="D2096" s="1">
        <f>IFERROR(__xludf.DUMMYFUNCTION("""COMPUTED_VALUE"""),40.0)</f>
        <v>40</v>
      </c>
      <c r="E2096" s="1">
        <f>IFERROR(__xludf.DUMMYFUNCTION("""COMPUTED_VALUE"""),40.01)</f>
        <v>40.01</v>
      </c>
      <c r="F2096" s="1">
        <f>IFERROR(__xludf.DUMMYFUNCTION("""COMPUTED_VALUE"""),286237.0)</f>
        <v>286237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IFERROR(__xludf.DUMMYFUNCTION("""COMPUTED_VALUE"""),39.81)</f>
        <v>39.81</v>
      </c>
      <c r="C2097" s="1">
        <f>IFERROR(__xludf.DUMMYFUNCTION("""COMPUTED_VALUE"""),40.52)</f>
        <v>40.52</v>
      </c>
      <c r="D2097" s="1">
        <f>IFERROR(__xludf.DUMMYFUNCTION("""COMPUTED_VALUE"""),39.36)</f>
        <v>39.36</v>
      </c>
      <c r="E2097" s="1">
        <f>IFERROR(__xludf.DUMMYFUNCTION("""COMPUTED_VALUE"""),40.4)</f>
        <v>40.4</v>
      </c>
      <c r="F2097" s="1">
        <f>IFERROR(__xludf.DUMMYFUNCTION("""COMPUTED_VALUE"""),386367.0)</f>
        <v>386367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IFERROR(__xludf.DUMMYFUNCTION("""COMPUTED_VALUE"""),41.19)</f>
        <v>41.19</v>
      </c>
      <c r="C2098" s="1">
        <f>IFERROR(__xludf.DUMMYFUNCTION("""COMPUTED_VALUE"""),41.66)</f>
        <v>41.66</v>
      </c>
      <c r="D2098" s="1">
        <f>IFERROR(__xludf.DUMMYFUNCTION("""COMPUTED_VALUE"""),40.55)</f>
        <v>40.55</v>
      </c>
      <c r="E2098" s="1">
        <f>IFERROR(__xludf.DUMMYFUNCTION("""COMPUTED_VALUE"""),41.03)</f>
        <v>41.03</v>
      </c>
      <c r="F2098" s="1">
        <f>IFERROR(__xludf.DUMMYFUNCTION("""COMPUTED_VALUE"""),510131.0)</f>
        <v>510131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IFERROR(__xludf.DUMMYFUNCTION("""COMPUTED_VALUE"""),40.75)</f>
        <v>40.75</v>
      </c>
      <c r="C2099" s="1">
        <f>IFERROR(__xludf.DUMMYFUNCTION("""COMPUTED_VALUE"""),40.95)</f>
        <v>40.95</v>
      </c>
      <c r="D2099" s="1">
        <f>IFERROR(__xludf.DUMMYFUNCTION("""COMPUTED_VALUE"""),39.98)</f>
        <v>39.98</v>
      </c>
      <c r="E2099" s="1">
        <f>IFERROR(__xludf.DUMMYFUNCTION("""COMPUTED_VALUE"""),40.39)</f>
        <v>40.39</v>
      </c>
      <c r="F2099" s="1">
        <f>IFERROR(__xludf.DUMMYFUNCTION("""COMPUTED_VALUE"""),378894.0)</f>
        <v>378894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IFERROR(__xludf.DUMMYFUNCTION("""COMPUTED_VALUE"""),40.13)</f>
        <v>40.13</v>
      </c>
      <c r="C2100" s="1">
        <f>IFERROR(__xludf.DUMMYFUNCTION("""COMPUTED_VALUE"""),41.33)</f>
        <v>41.33</v>
      </c>
      <c r="D2100" s="1">
        <f>IFERROR(__xludf.DUMMYFUNCTION("""COMPUTED_VALUE"""),39.92)</f>
        <v>39.92</v>
      </c>
      <c r="E2100" s="1">
        <f>IFERROR(__xludf.DUMMYFUNCTION("""COMPUTED_VALUE"""),40.89)</f>
        <v>40.89</v>
      </c>
      <c r="F2100" s="1">
        <f>IFERROR(__xludf.DUMMYFUNCTION("""COMPUTED_VALUE"""),278865.0)</f>
        <v>278865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IFERROR(__xludf.DUMMYFUNCTION("""COMPUTED_VALUE"""),40.97)</f>
        <v>40.97</v>
      </c>
      <c r="C2101" s="1">
        <f>IFERROR(__xludf.DUMMYFUNCTION("""COMPUTED_VALUE"""),41.36)</f>
        <v>41.36</v>
      </c>
      <c r="D2101" s="1">
        <f>IFERROR(__xludf.DUMMYFUNCTION("""COMPUTED_VALUE"""),40.63)</f>
        <v>40.63</v>
      </c>
      <c r="E2101" s="1">
        <f>IFERROR(__xludf.DUMMYFUNCTION("""COMPUTED_VALUE"""),41.08)</f>
        <v>41.08</v>
      </c>
      <c r="F2101" s="1">
        <f>IFERROR(__xludf.DUMMYFUNCTION("""COMPUTED_VALUE"""),267351.0)</f>
        <v>267351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IFERROR(__xludf.DUMMYFUNCTION("""COMPUTED_VALUE"""),41.07)</f>
        <v>41.07</v>
      </c>
      <c r="C2102" s="1">
        <f>IFERROR(__xludf.DUMMYFUNCTION("""COMPUTED_VALUE"""),41.76)</f>
        <v>41.76</v>
      </c>
      <c r="D2102" s="1">
        <f>IFERROR(__xludf.DUMMYFUNCTION("""COMPUTED_VALUE"""),41.07)</f>
        <v>41.07</v>
      </c>
      <c r="E2102" s="1">
        <f>IFERROR(__xludf.DUMMYFUNCTION("""COMPUTED_VALUE"""),41.44)</f>
        <v>41.44</v>
      </c>
      <c r="F2102" s="1">
        <f>IFERROR(__xludf.DUMMYFUNCTION("""COMPUTED_VALUE"""),299300.0)</f>
        <v>299300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IFERROR(__xludf.DUMMYFUNCTION("""COMPUTED_VALUE"""),41.61)</f>
        <v>41.61</v>
      </c>
      <c r="C2103" s="1">
        <f>IFERROR(__xludf.DUMMYFUNCTION("""COMPUTED_VALUE"""),41.99)</f>
        <v>41.99</v>
      </c>
      <c r="D2103" s="1">
        <f>IFERROR(__xludf.DUMMYFUNCTION("""COMPUTED_VALUE"""),41.24)</f>
        <v>41.24</v>
      </c>
      <c r="E2103" s="1">
        <f>IFERROR(__xludf.DUMMYFUNCTION("""COMPUTED_VALUE"""),41.74)</f>
        <v>41.74</v>
      </c>
      <c r="F2103" s="1">
        <f>IFERROR(__xludf.DUMMYFUNCTION("""COMPUTED_VALUE"""),364857.0)</f>
        <v>364857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IFERROR(__xludf.DUMMYFUNCTION("""COMPUTED_VALUE"""),41.75)</f>
        <v>41.75</v>
      </c>
      <c r="C2104" s="1">
        <f>IFERROR(__xludf.DUMMYFUNCTION("""COMPUTED_VALUE"""),41.89)</f>
        <v>41.89</v>
      </c>
      <c r="D2104" s="1">
        <f>IFERROR(__xludf.DUMMYFUNCTION("""COMPUTED_VALUE"""),41.42)</f>
        <v>41.42</v>
      </c>
      <c r="E2104" s="1">
        <f>IFERROR(__xludf.DUMMYFUNCTION("""COMPUTED_VALUE"""),41.73)</f>
        <v>41.73</v>
      </c>
      <c r="F2104" s="1">
        <f>IFERROR(__xludf.DUMMYFUNCTION("""COMPUTED_VALUE"""),270612.0)</f>
        <v>270612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IFERROR(__xludf.DUMMYFUNCTION("""COMPUTED_VALUE"""),41.82)</f>
        <v>41.82</v>
      </c>
      <c r="C2105" s="1">
        <f>IFERROR(__xludf.DUMMYFUNCTION("""COMPUTED_VALUE"""),42.17)</f>
        <v>42.17</v>
      </c>
      <c r="D2105" s="1">
        <f>IFERROR(__xludf.DUMMYFUNCTION("""COMPUTED_VALUE"""),41.64)</f>
        <v>41.64</v>
      </c>
      <c r="E2105" s="1">
        <f>IFERROR(__xludf.DUMMYFUNCTION("""COMPUTED_VALUE"""),41.76)</f>
        <v>41.76</v>
      </c>
      <c r="F2105" s="1">
        <f>IFERROR(__xludf.DUMMYFUNCTION("""COMPUTED_VALUE"""),238361.0)</f>
        <v>238361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IFERROR(__xludf.DUMMYFUNCTION("""COMPUTED_VALUE"""),41.96)</f>
        <v>41.96</v>
      </c>
      <c r="C2106" s="1">
        <f>IFERROR(__xludf.DUMMYFUNCTION("""COMPUTED_VALUE"""),42.04)</f>
        <v>42.04</v>
      </c>
      <c r="D2106" s="1">
        <f>IFERROR(__xludf.DUMMYFUNCTION("""COMPUTED_VALUE"""),41.69)</f>
        <v>41.69</v>
      </c>
      <c r="E2106" s="1">
        <f>IFERROR(__xludf.DUMMYFUNCTION("""COMPUTED_VALUE"""),41.77)</f>
        <v>41.77</v>
      </c>
      <c r="F2106" s="1">
        <f>IFERROR(__xludf.DUMMYFUNCTION("""COMPUTED_VALUE"""),338707.0)</f>
        <v>338707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IFERROR(__xludf.DUMMYFUNCTION("""COMPUTED_VALUE"""),41.64)</f>
        <v>41.64</v>
      </c>
      <c r="C2107" s="1">
        <f>IFERROR(__xludf.DUMMYFUNCTION("""COMPUTED_VALUE"""),42.11)</f>
        <v>42.11</v>
      </c>
      <c r="D2107" s="1">
        <f>IFERROR(__xludf.DUMMYFUNCTION("""COMPUTED_VALUE"""),41.54)</f>
        <v>41.54</v>
      </c>
      <c r="E2107" s="1">
        <f>IFERROR(__xludf.DUMMYFUNCTION("""COMPUTED_VALUE"""),41.86)</f>
        <v>41.86</v>
      </c>
      <c r="F2107" s="1">
        <f>IFERROR(__xludf.DUMMYFUNCTION("""COMPUTED_VALUE"""),679532.0)</f>
        <v>679532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IFERROR(__xludf.DUMMYFUNCTION("""COMPUTED_VALUE"""),41.93)</f>
        <v>41.93</v>
      </c>
      <c r="C2108" s="1">
        <f>IFERROR(__xludf.DUMMYFUNCTION("""COMPUTED_VALUE"""),42.22)</f>
        <v>42.22</v>
      </c>
      <c r="D2108" s="1">
        <f>IFERROR(__xludf.DUMMYFUNCTION("""COMPUTED_VALUE"""),41.62)</f>
        <v>41.62</v>
      </c>
      <c r="E2108" s="1">
        <f>IFERROR(__xludf.DUMMYFUNCTION("""COMPUTED_VALUE"""),41.87)</f>
        <v>41.87</v>
      </c>
      <c r="F2108" s="1">
        <f>IFERROR(__xludf.DUMMYFUNCTION("""COMPUTED_VALUE"""),615699.0)</f>
        <v>615699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IFERROR(__xludf.DUMMYFUNCTION("""COMPUTED_VALUE"""),41.88)</f>
        <v>41.88</v>
      </c>
      <c r="C2109" s="1">
        <f>IFERROR(__xludf.DUMMYFUNCTION("""COMPUTED_VALUE"""),42.42)</f>
        <v>42.42</v>
      </c>
      <c r="D2109" s="1">
        <f>IFERROR(__xludf.DUMMYFUNCTION("""COMPUTED_VALUE"""),41.68)</f>
        <v>41.68</v>
      </c>
      <c r="E2109" s="1">
        <f>IFERROR(__xludf.DUMMYFUNCTION("""COMPUTED_VALUE"""),42.26)</f>
        <v>42.26</v>
      </c>
      <c r="F2109" s="1">
        <f>IFERROR(__xludf.DUMMYFUNCTION("""COMPUTED_VALUE"""),400981.0)</f>
        <v>400981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IFERROR(__xludf.DUMMYFUNCTION("""COMPUTED_VALUE"""),41.88)</f>
        <v>41.88</v>
      </c>
      <c r="C2110" s="1">
        <f>IFERROR(__xludf.DUMMYFUNCTION("""COMPUTED_VALUE"""),42.42)</f>
        <v>42.42</v>
      </c>
      <c r="D2110" s="1">
        <f>IFERROR(__xludf.DUMMYFUNCTION("""COMPUTED_VALUE"""),41.68)</f>
        <v>41.68</v>
      </c>
      <c r="E2110" s="1">
        <f>IFERROR(__xludf.DUMMYFUNCTION("""COMPUTED_VALUE"""),42.26)</f>
        <v>42.26</v>
      </c>
      <c r="F2110" s="1">
        <f>IFERROR(__xludf.DUMMYFUNCTION("""COMPUTED_VALUE"""),400981.0)</f>
        <v>400981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IFERROR(__xludf.DUMMYFUNCTION("""COMPUTED_VALUE"""),42.13)</f>
        <v>42.13</v>
      </c>
      <c r="C2111" s="1">
        <f>IFERROR(__xludf.DUMMYFUNCTION("""COMPUTED_VALUE"""),42.92)</f>
        <v>42.92</v>
      </c>
      <c r="D2111" s="1">
        <f>IFERROR(__xludf.DUMMYFUNCTION("""COMPUTED_VALUE"""),42.13)</f>
        <v>42.13</v>
      </c>
      <c r="E2111" s="1">
        <f>IFERROR(__xludf.DUMMYFUNCTION("""COMPUTED_VALUE"""),42.73)</f>
        <v>42.73</v>
      </c>
      <c r="F2111" s="1">
        <f>IFERROR(__xludf.DUMMYFUNCTION("""COMPUTED_VALUE"""),405061.0)</f>
        <v>405061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IFERROR(__xludf.DUMMYFUNCTION("""COMPUTED_VALUE"""),42.73)</f>
        <v>42.73</v>
      </c>
      <c r="C2112" s="1">
        <f>IFERROR(__xludf.DUMMYFUNCTION("""COMPUTED_VALUE"""),43.27)</f>
        <v>43.27</v>
      </c>
      <c r="D2112" s="1">
        <f>IFERROR(__xludf.DUMMYFUNCTION("""COMPUTED_VALUE"""),42.73)</f>
        <v>42.73</v>
      </c>
      <c r="E2112" s="1">
        <f>IFERROR(__xludf.DUMMYFUNCTION("""COMPUTED_VALUE"""),42.96)</f>
        <v>42.96</v>
      </c>
      <c r="F2112" s="1">
        <f>IFERROR(__xludf.DUMMYFUNCTION("""COMPUTED_VALUE"""),260252.0)</f>
        <v>260252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IFERROR(__xludf.DUMMYFUNCTION("""COMPUTED_VALUE"""),42.71)</f>
        <v>42.71</v>
      </c>
      <c r="C2113" s="1">
        <f>IFERROR(__xludf.DUMMYFUNCTION("""COMPUTED_VALUE"""),42.98)</f>
        <v>42.98</v>
      </c>
      <c r="D2113" s="1">
        <f>IFERROR(__xludf.DUMMYFUNCTION("""COMPUTED_VALUE"""),42.52)</f>
        <v>42.52</v>
      </c>
      <c r="E2113" s="1">
        <f>IFERROR(__xludf.DUMMYFUNCTION("""COMPUTED_VALUE"""),42.87)</f>
        <v>42.87</v>
      </c>
      <c r="F2113" s="1">
        <f>IFERROR(__xludf.DUMMYFUNCTION("""COMPUTED_VALUE"""),324458.0)</f>
        <v>324458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IFERROR(__xludf.DUMMYFUNCTION("""COMPUTED_VALUE"""),42.8)</f>
        <v>42.8</v>
      </c>
      <c r="C2114" s="1">
        <f>IFERROR(__xludf.DUMMYFUNCTION("""COMPUTED_VALUE"""),42.86)</f>
        <v>42.86</v>
      </c>
      <c r="D2114" s="1">
        <f>IFERROR(__xludf.DUMMYFUNCTION("""COMPUTED_VALUE"""),41.93)</f>
        <v>41.93</v>
      </c>
      <c r="E2114" s="1">
        <f>IFERROR(__xludf.DUMMYFUNCTION("""COMPUTED_VALUE"""),42.83)</f>
        <v>42.83</v>
      </c>
      <c r="F2114" s="1">
        <f>IFERROR(__xludf.DUMMYFUNCTION("""COMPUTED_VALUE"""),261456.0)</f>
        <v>261456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IFERROR(__xludf.DUMMYFUNCTION("""COMPUTED_VALUE"""),42.59)</f>
        <v>42.59</v>
      </c>
      <c r="C2115" s="1">
        <f>IFERROR(__xludf.DUMMYFUNCTION("""COMPUTED_VALUE"""),43.02)</f>
        <v>43.02</v>
      </c>
      <c r="D2115" s="1">
        <f>IFERROR(__xludf.DUMMYFUNCTION("""COMPUTED_VALUE"""),42.59)</f>
        <v>42.59</v>
      </c>
      <c r="E2115" s="1">
        <f>IFERROR(__xludf.DUMMYFUNCTION("""COMPUTED_VALUE"""),42.83)</f>
        <v>42.83</v>
      </c>
      <c r="F2115" s="1">
        <f>IFERROR(__xludf.DUMMYFUNCTION("""COMPUTED_VALUE"""),262255.0)</f>
        <v>262255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IFERROR(__xludf.DUMMYFUNCTION("""COMPUTED_VALUE"""),42.57)</f>
        <v>42.57</v>
      </c>
      <c r="C2116" s="1">
        <f>IFERROR(__xludf.DUMMYFUNCTION("""COMPUTED_VALUE"""),42.75)</f>
        <v>42.75</v>
      </c>
      <c r="D2116" s="1">
        <f>IFERROR(__xludf.DUMMYFUNCTION("""COMPUTED_VALUE"""),41.79)</f>
        <v>41.79</v>
      </c>
      <c r="E2116" s="1">
        <f>IFERROR(__xludf.DUMMYFUNCTION("""COMPUTED_VALUE"""),42.14)</f>
        <v>42.14</v>
      </c>
      <c r="F2116" s="1">
        <f>IFERROR(__xludf.DUMMYFUNCTION("""COMPUTED_VALUE"""),491617.0)</f>
        <v>491617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IFERROR(__xludf.DUMMYFUNCTION("""COMPUTED_VALUE"""),42.54)</f>
        <v>42.54</v>
      </c>
      <c r="C2117" s="1">
        <f>IFERROR(__xludf.DUMMYFUNCTION("""COMPUTED_VALUE"""),43.08)</f>
        <v>43.08</v>
      </c>
      <c r="D2117" s="1">
        <f>IFERROR(__xludf.DUMMYFUNCTION("""COMPUTED_VALUE"""),42.25)</f>
        <v>42.25</v>
      </c>
      <c r="E2117" s="1">
        <f>IFERROR(__xludf.DUMMYFUNCTION("""COMPUTED_VALUE"""),42.93)</f>
        <v>42.93</v>
      </c>
      <c r="F2117" s="1">
        <f>IFERROR(__xludf.DUMMYFUNCTION("""COMPUTED_VALUE"""),519463.0)</f>
        <v>519463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IFERROR(__xludf.DUMMYFUNCTION("""COMPUTED_VALUE"""),42.68)</f>
        <v>42.68</v>
      </c>
      <c r="C2118" s="1">
        <f>IFERROR(__xludf.DUMMYFUNCTION("""COMPUTED_VALUE"""),42.94)</f>
        <v>42.94</v>
      </c>
      <c r="D2118" s="1">
        <f>IFERROR(__xludf.DUMMYFUNCTION("""COMPUTED_VALUE"""),42.03)</f>
        <v>42.03</v>
      </c>
      <c r="E2118" s="1">
        <f>IFERROR(__xludf.DUMMYFUNCTION("""COMPUTED_VALUE"""),42.19)</f>
        <v>42.19</v>
      </c>
      <c r="F2118" s="1">
        <f>IFERROR(__xludf.DUMMYFUNCTION("""COMPUTED_VALUE"""),331143.0)</f>
        <v>331143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IFERROR(__xludf.DUMMYFUNCTION("""COMPUTED_VALUE"""),42.67)</f>
        <v>42.67</v>
      </c>
      <c r="C2119" s="1">
        <f>IFERROR(__xludf.DUMMYFUNCTION("""COMPUTED_VALUE"""),43.09)</f>
        <v>43.09</v>
      </c>
      <c r="D2119" s="1">
        <f>IFERROR(__xludf.DUMMYFUNCTION("""COMPUTED_VALUE"""),42.57)</f>
        <v>42.57</v>
      </c>
      <c r="E2119" s="1">
        <f>IFERROR(__xludf.DUMMYFUNCTION("""COMPUTED_VALUE"""),42.7)</f>
        <v>42.7</v>
      </c>
      <c r="F2119" s="1">
        <f>IFERROR(__xludf.DUMMYFUNCTION("""COMPUTED_VALUE"""),306327.0)</f>
        <v>306327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IFERROR(__xludf.DUMMYFUNCTION("""COMPUTED_VALUE"""),42.94)</f>
        <v>42.94</v>
      </c>
      <c r="C2120" s="1">
        <f>IFERROR(__xludf.DUMMYFUNCTION("""COMPUTED_VALUE"""),43.1)</f>
        <v>43.1</v>
      </c>
      <c r="D2120" s="1">
        <f>IFERROR(__xludf.DUMMYFUNCTION("""COMPUTED_VALUE"""),42.5)</f>
        <v>42.5</v>
      </c>
      <c r="E2120" s="1">
        <f>IFERROR(__xludf.DUMMYFUNCTION("""COMPUTED_VALUE"""),43.05)</f>
        <v>43.05</v>
      </c>
      <c r="F2120" s="1">
        <f>IFERROR(__xludf.DUMMYFUNCTION("""COMPUTED_VALUE"""),249385.0)</f>
        <v>249385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IFERROR(__xludf.DUMMYFUNCTION("""COMPUTED_VALUE"""),42.95)</f>
        <v>42.95</v>
      </c>
      <c r="C2121" s="1">
        <f>IFERROR(__xludf.DUMMYFUNCTION("""COMPUTED_VALUE"""),43.09)</f>
        <v>43.09</v>
      </c>
      <c r="D2121" s="1">
        <f>IFERROR(__xludf.DUMMYFUNCTION("""COMPUTED_VALUE"""),42.51)</f>
        <v>42.51</v>
      </c>
      <c r="E2121" s="1">
        <f>IFERROR(__xludf.DUMMYFUNCTION("""COMPUTED_VALUE"""),42.92)</f>
        <v>42.92</v>
      </c>
      <c r="F2121" s="1">
        <f>IFERROR(__xludf.DUMMYFUNCTION("""COMPUTED_VALUE"""),273420.0)</f>
        <v>273420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IFERROR(__xludf.DUMMYFUNCTION("""COMPUTED_VALUE"""),43.0)</f>
        <v>43</v>
      </c>
      <c r="C2122" s="1">
        <f>IFERROR(__xludf.DUMMYFUNCTION("""COMPUTED_VALUE"""),43.6)</f>
        <v>43.6</v>
      </c>
      <c r="D2122" s="1">
        <f>IFERROR(__xludf.DUMMYFUNCTION("""COMPUTED_VALUE"""),42.96)</f>
        <v>42.96</v>
      </c>
      <c r="E2122" s="1">
        <f>IFERROR(__xludf.DUMMYFUNCTION("""COMPUTED_VALUE"""),43.6)</f>
        <v>43.6</v>
      </c>
      <c r="F2122" s="1">
        <f>IFERROR(__xludf.DUMMYFUNCTION("""COMPUTED_VALUE"""),388543.0)</f>
        <v>388543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IFERROR(__xludf.DUMMYFUNCTION("""COMPUTED_VALUE"""),43.84)</f>
        <v>43.84</v>
      </c>
      <c r="C2123" s="1">
        <f>IFERROR(__xludf.DUMMYFUNCTION("""COMPUTED_VALUE"""),44.05)</f>
        <v>44.05</v>
      </c>
      <c r="D2123" s="1">
        <f>IFERROR(__xludf.DUMMYFUNCTION("""COMPUTED_VALUE"""),43.46)</f>
        <v>43.46</v>
      </c>
      <c r="E2123" s="1">
        <f>IFERROR(__xludf.DUMMYFUNCTION("""COMPUTED_VALUE"""),43.8)</f>
        <v>43.8</v>
      </c>
      <c r="F2123" s="1">
        <f>IFERROR(__xludf.DUMMYFUNCTION("""COMPUTED_VALUE"""),572673.0)</f>
        <v>572673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IFERROR(__xludf.DUMMYFUNCTION("""COMPUTED_VALUE"""),43.77)</f>
        <v>43.77</v>
      </c>
      <c r="C2124" s="1">
        <f>IFERROR(__xludf.DUMMYFUNCTION("""COMPUTED_VALUE"""),43.9)</f>
        <v>43.9</v>
      </c>
      <c r="D2124" s="1">
        <f>IFERROR(__xludf.DUMMYFUNCTION("""COMPUTED_VALUE"""),43.53)</f>
        <v>43.53</v>
      </c>
      <c r="E2124" s="1">
        <f>IFERROR(__xludf.DUMMYFUNCTION("""COMPUTED_VALUE"""),43.68)</f>
        <v>43.68</v>
      </c>
      <c r="F2124" s="1">
        <f>IFERROR(__xludf.DUMMYFUNCTION("""COMPUTED_VALUE"""),431852.0)</f>
        <v>431852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IFERROR(__xludf.DUMMYFUNCTION("""COMPUTED_VALUE"""),43.79)</f>
        <v>43.79</v>
      </c>
      <c r="C2125" s="1">
        <f>IFERROR(__xludf.DUMMYFUNCTION("""COMPUTED_VALUE"""),43.84)</f>
        <v>43.84</v>
      </c>
      <c r="D2125" s="1">
        <f>IFERROR(__xludf.DUMMYFUNCTION("""COMPUTED_VALUE"""),42.65)</f>
        <v>42.65</v>
      </c>
      <c r="E2125" s="1">
        <f>IFERROR(__xludf.DUMMYFUNCTION("""COMPUTED_VALUE"""),42.78)</f>
        <v>42.78</v>
      </c>
      <c r="F2125" s="1">
        <f>IFERROR(__xludf.DUMMYFUNCTION("""COMPUTED_VALUE"""),413393.0)</f>
        <v>413393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IFERROR(__xludf.DUMMYFUNCTION("""COMPUTED_VALUE"""),42.82)</f>
        <v>42.82</v>
      </c>
      <c r="C2126" s="1">
        <f>IFERROR(__xludf.DUMMYFUNCTION("""COMPUTED_VALUE"""),42.92)</f>
        <v>42.92</v>
      </c>
      <c r="D2126" s="1">
        <f>IFERROR(__xludf.DUMMYFUNCTION("""COMPUTED_VALUE"""),42.4)</f>
        <v>42.4</v>
      </c>
      <c r="E2126" s="1">
        <f>IFERROR(__xludf.DUMMYFUNCTION("""COMPUTED_VALUE"""),42.63)</f>
        <v>42.63</v>
      </c>
      <c r="F2126" s="1">
        <f>IFERROR(__xludf.DUMMYFUNCTION("""COMPUTED_VALUE"""),489279.0)</f>
        <v>489279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IFERROR(__xludf.DUMMYFUNCTION("""COMPUTED_VALUE"""),42.62)</f>
        <v>42.62</v>
      </c>
      <c r="C2127" s="1">
        <f>IFERROR(__xludf.DUMMYFUNCTION("""COMPUTED_VALUE"""),43.18)</f>
        <v>43.18</v>
      </c>
      <c r="D2127" s="1">
        <f>IFERROR(__xludf.DUMMYFUNCTION("""COMPUTED_VALUE"""),42.31)</f>
        <v>42.31</v>
      </c>
      <c r="E2127" s="1">
        <f>IFERROR(__xludf.DUMMYFUNCTION("""COMPUTED_VALUE"""),42.56)</f>
        <v>42.56</v>
      </c>
      <c r="F2127" s="1">
        <f>IFERROR(__xludf.DUMMYFUNCTION("""COMPUTED_VALUE"""),457935.0)</f>
        <v>457935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IFERROR(__xludf.DUMMYFUNCTION("""COMPUTED_VALUE"""),42.6)</f>
        <v>42.6</v>
      </c>
      <c r="C2128" s="1">
        <f>IFERROR(__xludf.DUMMYFUNCTION("""COMPUTED_VALUE"""),42.6)</f>
        <v>42.6</v>
      </c>
      <c r="D2128" s="1">
        <f>IFERROR(__xludf.DUMMYFUNCTION("""COMPUTED_VALUE"""),41.94)</f>
        <v>41.94</v>
      </c>
      <c r="E2128" s="1">
        <f>IFERROR(__xludf.DUMMYFUNCTION("""COMPUTED_VALUE"""),42.48)</f>
        <v>42.48</v>
      </c>
      <c r="F2128" s="1">
        <f>IFERROR(__xludf.DUMMYFUNCTION("""COMPUTED_VALUE"""),410095.0)</f>
        <v>410095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IFERROR(__xludf.DUMMYFUNCTION("""COMPUTED_VALUE"""),42.49)</f>
        <v>42.49</v>
      </c>
      <c r="C2129" s="1">
        <f>IFERROR(__xludf.DUMMYFUNCTION("""COMPUTED_VALUE"""),42.83)</f>
        <v>42.83</v>
      </c>
      <c r="D2129" s="1">
        <f>IFERROR(__xludf.DUMMYFUNCTION("""COMPUTED_VALUE"""),41.83)</f>
        <v>41.83</v>
      </c>
      <c r="E2129" s="1">
        <f>IFERROR(__xludf.DUMMYFUNCTION("""COMPUTED_VALUE"""),42.59)</f>
        <v>42.59</v>
      </c>
      <c r="F2129" s="1">
        <f>IFERROR(__xludf.DUMMYFUNCTION("""COMPUTED_VALUE"""),1370235.0)</f>
        <v>1370235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IFERROR(__xludf.DUMMYFUNCTION("""COMPUTED_VALUE"""),42.23)</f>
        <v>42.23</v>
      </c>
      <c r="C2130" s="1">
        <f>IFERROR(__xludf.DUMMYFUNCTION("""COMPUTED_VALUE"""),43.28)</f>
        <v>43.28</v>
      </c>
      <c r="D2130" s="1">
        <f>IFERROR(__xludf.DUMMYFUNCTION("""COMPUTED_VALUE"""),42.03)</f>
        <v>42.03</v>
      </c>
      <c r="E2130" s="1">
        <f>IFERROR(__xludf.DUMMYFUNCTION("""COMPUTED_VALUE"""),42.59)</f>
        <v>42.59</v>
      </c>
      <c r="F2130" s="1">
        <f>IFERROR(__xludf.DUMMYFUNCTION("""COMPUTED_VALUE"""),256168.0)</f>
        <v>256168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IFERROR(__xludf.DUMMYFUNCTION("""COMPUTED_VALUE"""),42.17)</f>
        <v>42.17</v>
      </c>
      <c r="C2131" s="1">
        <f>IFERROR(__xludf.DUMMYFUNCTION("""COMPUTED_VALUE"""),43.01)</f>
        <v>43.01</v>
      </c>
      <c r="D2131" s="1">
        <f>IFERROR(__xludf.DUMMYFUNCTION("""COMPUTED_VALUE"""),42.17)</f>
        <v>42.17</v>
      </c>
      <c r="E2131" s="1">
        <f>IFERROR(__xludf.DUMMYFUNCTION("""COMPUTED_VALUE"""),42.95)</f>
        <v>42.95</v>
      </c>
      <c r="F2131" s="1">
        <f>IFERROR(__xludf.DUMMYFUNCTION("""COMPUTED_VALUE"""),383980.0)</f>
        <v>383980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IFERROR(__xludf.DUMMYFUNCTION("""COMPUTED_VALUE"""),43.25)</f>
        <v>43.25</v>
      </c>
      <c r="C2132" s="1">
        <f>IFERROR(__xludf.DUMMYFUNCTION("""COMPUTED_VALUE"""),43.26)</f>
        <v>43.26</v>
      </c>
      <c r="D2132" s="1">
        <f>IFERROR(__xludf.DUMMYFUNCTION("""COMPUTED_VALUE"""),42.41)</f>
        <v>42.41</v>
      </c>
      <c r="E2132" s="1">
        <f>IFERROR(__xludf.DUMMYFUNCTION("""COMPUTED_VALUE"""),43.05)</f>
        <v>43.05</v>
      </c>
      <c r="F2132" s="1">
        <f>IFERROR(__xludf.DUMMYFUNCTION("""COMPUTED_VALUE"""),257095.0)</f>
        <v>257095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IFERROR(__xludf.DUMMYFUNCTION("""COMPUTED_VALUE"""),42.95)</f>
        <v>42.95</v>
      </c>
      <c r="C2133" s="1">
        <f>IFERROR(__xludf.DUMMYFUNCTION("""COMPUTED_VALUE"""),43.13)</f>
        <v>43.13</v>
      </c>
      <c r="D2133" s="1">
        <f>IFERROR(__xludf.DUMMYFUNCTION("""COMPUTED_VALUE"""),42.47)</f>
        <v>42.47</v>
      </c>
      <c r="E2133" s="1">
        <f>IFERROR(__xludf.DUMMYFUNCTION("""COMPUTED_VALUE"""),42.68)</f>
        <v>42.68</v>
      </c>
      <c r="F2133" s="1">
        <f>IFERROR(__xludf.DUMMYFUNCTION("""COMPUTED_VALUE"""),258336.0)</f>
        <v>258336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IFERROR(__xludf.DUMMYFUNCTION("""COMPUTED_VALUE"""),42.9)</f>
        <v>42.9</v>
      </c>
      <c r="C2134" s="1">
        <f>IFERROR(__xludf.DUMMYFUNCTION("""COMPUTED_VALUE"""),42.94)</f>
        <v>42.94</v>
      </c>
      <c r="D2134" s="1">
        <f>IFERROR(__xludf.DUMMYFUNCTION("""COMPUTED_VALUE"""),41.84)</f>
        <v>41.84</v>
      </c>
      <c r="E2134" s="1">
        <f>IFERROR(__xludf.DUMMYFUNCTION("""COMPUTED_VALUE"""),42.19)</f>
        <v>42.19</v>
      </c>
      <c r="F2134" s="1">
        <f>IFERROR(__xludf.DUMMYFUNCTION("""COMPUTED_VALUE"""),981358.0)</f>
        <v>981358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IFERROR(__xludf.DUMMYFUNCTION("""COMPUTED_VALUE"""),41.93)</f>
        <v>41.93</v>
      </c>
      <c r="C2135" s="1">
        <f>IFERROR(__xludf.DUMMYFUNCTION("""COMPUTED_VALUE"""),42.25)</f>
        <v>42.25</v>
      </c>
      <c r="D2135" s="1">
        <f>IFERROR(__xludf.DUMMYFUNCTION("""COMPUTED_VALUE"""),41.49)</f>
        <v>41.49</v>
      </c>
      <c r="E2135" s="1">
        <f>IFERROR(__xludf.DUMMYFUNCTION("""COMPUTED_VALUE"""),41.94)</f>
        <v>41.94</v>
      </c>
      <c r="F2135" s="1">
        <f>IFERROR(__xludf.DUMMYFUNCTION("""COMPUTED_VALUE"""),410669.0)</f>
        <v>410669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IFERROR(__xludf.DUMMYFUNCTION("""COMPUTED_VALUE"""),41.98)</f>
        <v>41.98</v>
      </c>
      <c r="C2136" s="1">
        <f>IFERROR(__xludf.DUMMYFUNCTION("""COMPUTED_VALUE"""),41.98)</f>
        <v>41.98</v>
      </c>
      <c r="D2136" s="1">
        <f>IFERROR(__xludf.DUMMYFUNCTION("""COMPUTED_VALUE"""),41.32)</f>
        <v>41.32</v>
      </c>
      <c r="E2136" s="1">
        <f>IFERROR(__xludf.DUMMYFUNCTION("""COMPUTED_VALUE"""),41.79)</f>
        <v>41.79</v>
      </c>
      <c r="F2136" s="1">
        <f>IFERROR(__xludf.DUMMYFUNCTION("""COMPUTED_VALUE"""),497037.0)</f>
        <v>497037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IFERROR(__xludf.DUMMYFUNCTION("""COMPUTED_VALUE"""),41.66)</f>
        <v>41.66</v>
      </c>
      <c r="C2137" s="1">
        <f>IFERROR(__xludf.DUMMYFUNCTION("""COMPUTED_VALUE"""),41.8)</f>
        <v>41.8</v>
      </c>
      <c r="D2137" s="1">
        <f>IFERROR(__xludf.DUMMYFUNCTION("""COMPUTED_VALUE"""),40.87)</f>
        <v>40.87</v>
      </c>
      <c r="E2137" s="1">
        <f>IFERROR(__xludf.DUMMYFUNCTION("""COMPUTED_VALUE"""),40.91)</f>
        <v>40.91</v>
      </c>
      <c r="F2137" s="1">
        <f>IFERROR(__xludf.DUMMYFUNCTION("""COMPUTED_VALUE"""),299478.0)</f>
        <v>299478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IFERROR(__xludf.DUMMYFUNCTION("""COMPUTED_VALUE"""),41.07)</f>
        <v>41.07</v>
      </c>
      <c r="C2138" s="1">
        <f>IFERROR(__xludf.DUMMYFUNCTION("""COMPUTED_VALUE"""),41.23)</f>
        <v>41.23</v>
      </c>
      <c r="D2138" s="1">
        <f>IFERROR(__xludf.DUMMYFUNCTION("""COMPUTED_VALUE"""),40.65)</f>
        <v>40.65</v>
      </c>
      <c r="E2138" s="1">
        <f>IFERROR(__xludf.DUMMYFUNCTION("""COMPUTED_VALUE"""),40.9)</f>
        <v>40.9</v>
      </c>
      <c r="F2138" s="1">
        <f>IFERROR(__xludf.DUMMYFUNCTION("""COMPUTED_VALUE"""),389633.0)</f>
        <v>389633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IFERROR(__xludf.DUMMYFUNCTION("""COMPUTED_VALUE"""),41.2)</f>
        <v>41.2</v>
      </c>
      <c r="C2139" s="1">
        <f>IFERROR(__xludf.DUMMYFUNCTION("""COMPUTED_VALUE"""),41.46)</f>
        <v>41.46</v>
      </c>
      <c r="D2139" s="1">
        <f>IFERROR(__xludf.DUMMYFUNCTION("""COMPUTED_VALUE"""),40.48)</f>
        <v>40.48</v>
      </c>
      <c r="E2139" s="1">
        <f>IFERROR(__xludf.DUMMYFUNCTION("""COMPUTED_VALUE"""),40.49)</f>
        <v>40.49</v>
      </c>
      <c r="F2139" s="1">
        <f>IFERROR(__xludf.DUMMYFUNCTION("""COMPUTED_VALUE"""),408310.0)</f>
        <v>408310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IFERROR(__xludf.DUMMYFUNCTION("""COMPUTED_VALUE"""),40.3)</f>
        <v>40.3</v>
      </c>
      <c r="C2140" s="1">
        <f>IFERROR(__xludf.DUMMYFUNCTION("""COMPUTED_VALUE"""),40.89)</f>
        <v>40.89</v>
      </c>
      <c r="D2140" s="1">
        <f>IFERROR(__xludf.DUMMYFUNCTION("""COMPUTED_VALUE"""),40.2)</f>
        <v>40.2</v>
      </c>
      <c r="E2140" s="1">
        <f>IFERROR(__xludf.DUMMYFUNCTION("""COMPUTED_VALUE"""),40.89)</f>
        <v>40.89</v>
      </c>
      <c r="F2140" s="1">
        <f>IFERROR(__xludf.DUMMYFUNCTION("""COMPUTED_VALUE"""),227820.0)</f>
        <v>227820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IFERROR(__xludf.DUMMYFUNCTION("""COMPUTED_VALUE"""),40.95)</f>
        <v>40.95</v>
      </c>
      <c r="C2141" s="1">
        <f>IFERROR(__xludf.DUMMYFUNCTION("""COMPUTED_VALUE"""),41.08)</f>
        <v>41.08</v>
      </c>
      <c r="D2141" s="1">
        <f>IFERROR(__xludf.DUMMYFUNCTION("""COMPUTED_VALUE"""),40.63)</f>
        <v>40.63</v>
      </c>
      <c r="E2141" s="1">
        <f>IFERROR(__xludf.DUMMYFUNCTION("""COMPUTED_VALUE"""),40.68)</f>
        <v>40.68</v>
      </c>
      <c r="F2141" s="1">
        <f>IFERROR(__xludf.DUMMYFUNCTION("""COMPUTED_VALUE"""),153627.0)</f>
        <v>153627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IFERROR(__xludf.DUMMYFUNCTION("""COMPUTED_VALUE"""),41.0)</f>
        <v>41</v>
      </c>
      <c r="C2142" s="1">
        <f>IFERROR(__xludf.DUMMYFUNCTION("""COMPUTED_VALUE"""),41.08)</f>
        <v>41.08</v>
      </c>
      <c r="D2142" s="1">
        <f>IFERROR(__xludf.DUMMYFUNCTION("""COMPUTED_VALUE"""),40.59)</f>
        <v>40.59</v>
      </c>
      <c r="E2142" s="1">
        <f>IFERROR(__xludf.DUMMYFUNCTION("""COMPUTED_VALUE"""),40.96)</f>
        <v>40.96</v>
      </c>
      <c r="F2142" s="1">
        <f>IFERROR(__xludf.DUMMYFUNCTION("""COMPUTED_VALUE"""),273231.0)</f>
        <v>273231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IFERROR(__xludf.DUMMYFUNCTION("""COMPUTED_VALUE"""),40.97)</f>
        <v>40.97</v>
      </c>
      <c r="C2143" s="1">
        <f>IFERROR(__xludf.DUMMYFUNCTION("""COMPUTED_VALUE"""),41.38)</f>
        <v>41.38</v>
      </c>
      <c r="D2143" s="1">
        <f>IFERROR(__xludf.DUMMYFUNCTION("""COMPUTED_VALUE"""),40.59)</f>
        <v>40.59</v>
      </c>
      <c r="E2143" s="1">
        <f>IFERROR(__xludf.DUMMYFUNCTION("""COMPUTED_VALUE"""),41.18)</f>
        <v>41.18</v>
      </c>
      <c r="F2143" s="1">
        <f>IFERROR(__xludf.DUMMYFUNCTION("""COMPUTED_VALUE"""),223819.0)</f>
        <v>223819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IFERROR(__xludf.DUMMYFUNCTION("""COMPUTED_VALUE"""),41.33)</f>
        <v>41.33</v>
      </c>
      <c r="C2144" s="1">
        <f>IFERROR(__xludf.DUMMYFUNCTION("""COMPUTED_VALUE"""),42.38)</f>
        <v>42.38</v>
      </c>
      <c r="D2144" s="1">
        <f>IFERROR(__xludf.DUMMYFUNCTION("""COMPUTED_VALUE"""),41.33)</f>
        <v>41.33</v>
      </c>
      <c r="E2144" s="1">
        <f>IFERROR(__xludf.DUMMYFUNCTION("""COMPUTED_VALUE"""),42.33)</f>
        <v>42.33</v>
      </c>
      <c r="F2144" s="1">
        <f>IFERROR(__xludf.DUMMYFUNCTION("""COMPUTED_VALUE"""),356464.0)</f>
        <v>356464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IFERROR(__xludf.DUMMYFUNCTION("""COMPUTED_VALUE"""),42.24)</f>
        <v>42.24</v>
      </c>
      <c r="C2145" s="1">
        <f>IFERROR(__xludf.DUMMYFUNCTION("""COMPUTED_VALUE"""),42.51)</f>
        <v>42.51</v>
      </c>
      <c r="D2145" s="1">
        <f>IFERROR(__xludf.DUMMYFUNCTION("""COMPUTED_VALUE"""),41.25)</f>
        <v>41.25</v>
      </c>
      <c r="E2145" s="1">
        <f>IFERROR(__xludf.DUMMYFUNCTION("""COMPUTED_VALUE"""),41.6)</f>
        <v>41.6</v>
      </c>
      <c r="F2145" s="1">
        <f>IFERROR(__xludf.DUMMYFUNCTION("""COMPUTED_VALUE"""),504127.0)</f>
        <v>504127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IFERROR(__xludf.DUMMYFUNCTION("""COMPUTED_VALUE"""),41.31)</f>
        <v>41.31</v>
      </c>
      <c r="C2146" s="1">
        <f>IFERROR(__xludf.DUMMYFUNCTION("""COMPUTED_VALUE"""),41.74)</f>
        <v>41.74</v>
      </c>
      <c r="D2146" s="1">
        <f>IFERROR(__xludf.DUMMYFUNCTION("""COMPUTED_VALUE"""),41.27)</f>
        <v>41.27</v>
      </c>
      <c r="E2146" s="1">
        <f>IFERROR(__xludf.DUMMYFUNCTION("""COMPUTED_VALUE"""),41.48)</f>
        <v>41.48</v>
      </c>
      <c r="F2146" s="1">
        <f>IFERROR(__xludf.DUMMYFUNCTION("""COMPUTED_VALUE"""),234215.0)</f>
        <v>234215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IFERROR(__xludf.DUMMYFUNCTION("""COMPUTED_VALUE"""),41.66)</f>
        <v>41.66</v>
      </c>
      <c r="C2147" s="1">
        <f>IFERROR(__xludf.DUMMYFUNCTION("""COMPUTED_VALUE"""),41.66)</f>
        <v>41.66</v>
      </c>
      <c r="D2147" s="1">
        <f>IFERROR(__xludf.DUMMYFUNCTION("""COMPUTED_VALUE"""),40.74)</f>
        <v>40.74</v>
      </c>
      <c r="E2147" s="1">
        <f>IFERROR(__xludf.DUMMYFUNCTION("""COMPUTED_VALUE"""),41.23)</f>
        <v>41.23</v>
      </c>
      <c r="F2147" s="1">
        <f>IFERROR(__xludf.DUMMYFUNCTION("""COMPUTED_VALUE"""),341080.0)</f>
        <v>341080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IFERROR(__xludf.DUMMYFUNCTION("""COMPUTED_VALUE"""),41.12)</f>
        <v>41.12</v>
      </c>
      <c r="C2148" s="1">
        <f>IFERROR(__xludf.DUMMYFUNCTION("""COMPUTED_VALUE"""),41.35)</f>
        <v>41.35</v>
      </c>
      <c r="D2148" s="1">
        <f>IFERROR(__xludf.DUMMYFUNCTION("""COMPUTED_VALUE"""),40.53)</f>
        <v>40.53</v>
      </c>
      <c r="E2148" s="1">
        <f>IFERROR(__xludf.DUMMYFUNCTION("""COMPUTED_VALUE"""),40.56)</f>
        <v>40.56</v>
      </c>
      <c r="F2148" s="1">
        <f>IFERROR(__xludf.DUMMYFUNCTION("""COMPUTED_VALUE"""),316456.0)</f>
        <v>316456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IFERROR(__xludf.DUMMYFUNCTION("""COMPUTED_VALUE"""),40.7)</f>
        <v>40.7</v>
      </c>
      <c r="C2149" s="1">
        <f>IFERROR(__xludf.DUMMYFUNCTION("""COMPUTED_VALUE"""),40.93)</f>
        <v>40.93</v>
      </c>
      <c r="D2149" s="1">
        <f>IFERROR(__xludf.DUMMYFUNCTION("""COMPUTED_VALUE"""),40.42)</f>
        <v>40.42</v>
      </c>
      <c r="E2149" s="1">
        <f>IFERROR(__xludf.DUMMYFUNCTION("""COMPUTED_VALUE"""),40.69)</f>
        <v>40.69</v>
      </c>
      <c r="F2149" s="1">
        <f>IFERROR(__xludf.DUMMYFUNCTION("""COMPUTED_VALUE"""),403817.0)</f>
        <v>403817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IFERROR(__xludf.DUMMYFUNCTION("""COMPUTED_VALUE"""),40.75)</f>
        <v>40.75</v>
      </c>
      <c r="C2150" s="1">
        <f>IFERROR(__xludf.DUMMYFUNCTION("""COMPUTED_VALUE"""),40.87)</f>
        <v>40.87</v>
      </c>
      <c r="D2150" s="1">
        <f>IFERROR(__xludf.DUMMYFUNCTION("""COMPUTED_VALUE"""),40.38)</f>
        <v>40.38</v>
      </c>
      <c r="E2150" s="1">
        <f>IFERROR(__xludf.DUMMYFUNCTION("""COMPUTED_VALUE"""),40.42)</f>
        <v>40.42</v>
      </c>
      <c r="F2150" s="1">
        <f>IFERROR(__xludf.DUMMYFUNCTION("""COMPUTED_VALUE"""),335471.0)</f>
        <v>335471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IFERROR(__xludf.DUMMYFUNCTION("""COMPUTED_VALUE"""),40.45)</f>
        <v>40.45</v>
      </c>
      <c r="C2151" s="1">
        <f>IFERROR(__xludf.DUMMYFUNCTION("""COMPUTED_VALUE"""),41.09)</f>
        <v>41.09</v>
      </c>
      <c r="D2151" s="1">
        <f>IFERROR(__xludf.DUMMYFUNCTION("""COMPUTED_VALUE"""),40.35)</f>
        <v>40.35</v>
      </c>
      <c r="E2151" s="1">
        <f>IFERROR(__xludf.DUMMYFUNCTION("""COMPUTED_VALUE"""),41.04)</f>
        <v>41.04</v>
      </c>
      <c r="F2151" s="1">
        <f>IFERROR(__xludf.DUMMYFUNCTION("""COMPUTED_VALUE"""),461662.0)</f>
        <v>461662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IFERROR(__xludf.DUMMYFUNCTION("""COMPUTED_VALUE"""),41.71)</f>
        <v>41.71</v>
      </c>
      <c r="C2152" s="1">
        <f>IFERROR(__xludf.DUMMYFUNCTION("""COMPUTED_VALUE"""),42.54)</f>
        <v>42.54</v>
      </c>
      <c r="D2152" s="1">
        <f>IFERROR(__xludf.DUMMYFUNCTION("""COMPUTED_VALUE"""),41.46)</f>
        <v>41.46</v>
      </c>
      <c r="E2152" s="1">
        <f>IFERROR(__xludf.DUMMYFUNCTION("""COMPUTED_VALUE"""),42.1)</f>
        <v>42.1</v>
      </c>
      <c r="F2152" s="1">
        <f>IFERROR(__xludf.DUMMYFUNCTION("""COMPUTED_VALUE"""),1703381.0)</f>
        <v>1703381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IFERROR(__xludf.DUMMYFUNCTION("""COMPUTED_VALUE"""),42.07)</f>
        <v>42.07</v>
      </c>
      <c r="C2153" s="1">
        <f>IFERROR(__xludf.DUMMYFUNCTION("""COMPUTED_VALUE"""),42.62)</f>
        <v>42.62</v>
      </c>
      <c r="D2153" s="1">
        <f>IFERROR(__xludf.DUMMYFUNCTION("""COMPUTED_VALUE"""),41.62)</f>
        <v>41.62</v>
      </c>
      <c r="E2153" s="1">
        <f>IFERROR(__xludf.DUMMYFUNCTION("""COMPUTED_VALUE"""),42.11)</f>
        <v>42.11</v>
      </c>
      <c r="F2153" s="1">
        <f>IFERROR(__xludf.DUMMYFUNCTION("""COMPUTED_VALUE"""),518582.0)</f>
        <v>518582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IFERROR(__xludf.DUMMYFUNCTION("""COMPUTED_VALUE"""),42.12)</f>
        <v>42.12</v>
      </c>
      <c r="C2154" s="1">
        <f>IFERROR(__xludf.DUMMYFUNCTION("""COMPUTED_VALUE"""),43.0)</f>
        <v>43</v>
      </c>
      <c r="D2154" s="1">
        <f>IFERROR(__xludf.DUMMYFUNCTION("""COMPUTED_VALUE"""),42.12)</f>
        <v>42.12</v>
      </c>
      <c r="E2154" s="1">
        <f>IFERROR(__xludf.DUMMYFUNCTION("""COMPUTED_VALUE"""),42.74)</f>
        <v>42.74</v>
      </c>
      <c r="F2154" s="1">
        <f>IFERROR(__xludf.DUMMYFUNCTION("""COMPUTED_VALUE"""),459403.0)</f>
        <v>459403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IFERROR(__xludf.DUMMYFUNCTION("""COMPUTED_VALUE"""),42.88)</f>
        <v>42.88</v>
      </c>
      <c r="C2155" s="1">
        <f>IFERROR(__xludf.DUMMYFUNCTION("""COMPUTED_VALUE"""),42.91)</f>
        <v>42.91</v>
      </c>
      <c r="D2155" s="1">
        <f>IFERROR(__xludf.DUMMYFUNCTION("""COMPUTED_VALUE"""),42.22)</f>
        <v>42.22</v>
      </c>
      <c r="E2155" s="1">
        <f>IFERROR(__xludf.DUMMYFUNCTION("""COMPUTED_VALUE"""),42.46)</f>
        <v>42.46</v>
      </c>
      <c r="F2155" s="1">
        <f>IFERROR(__xludf.DUMMYFUNCTION("""COMPUTED_VALUE"""),345417.0)</f>
        <v>345417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IFERROR(__xludf.DUMMYFUNCTION("""COMPUTED_VALUE"""),42.43)</f>
        <v>42.43</v>
      </c>
      <c r="C2156" s="1">
        <f>IFERROR(__xludf.DUMMYFUNCTION("""COMPUTED_VALUE"""),42.43)</f>
        <v>42.43</v>
      </c>
      <c r="D2156" s="1">
        <f>IFERROR(__xludf.DUMMYFUNCTION("""COMPUTED_VALUE"""),41.33)</f>
        <v>41.33</v>
      </c>
      <c r="E2156" s="1">
        <f>IFERROR(__xludf.DUMMYFUNCTION("""COMPUTED_VALUE"""),41.46)</f>
        <v>41.46</v>
      </c>
      <c r="F2156" s="1">
        <f>IFERROR(__xludf.DUMMYFUNCTION("""COMPUTED_VALUE"""),578169.0)</f>
        <v>578169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IFERROR(__xludf.DUMMYFUNCTION("""COMPUTED_VALUE"""),41.53)</f>
        <v>41.53</v>
      </c>
      <c r="C2157" s="1">
        <f>IFERROR(__xludf.DUMMYFUNCTION("""COMPUTED_VALUE"""),42.4)</f>
        <v>42.4</v>
      </c>
      <c r="D2157" s="1">
        <f>IFERROR(__xludf.DUMMYFUNCTION("""COMPUTED_VALUE"""),41.53)</f>
        <v>41.53</v>
      </c>
      <c r="E2157" s="1">
        <f>IFERROR(__xludf.DUMMYFUNCTION("""COMPUTED_VALUE"""),41.9)</f>
        <v>41.9</v>
      </c>
      <c r="F2157" s="1">
        <f>IFERROR(__xludf.DUMMYFUNCTION("""COMPUTED_VALUE"""),426906.0)</f>
        <v>426906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IFERROR(__xludf.DUMMYFUNCTION("""COMPUTED_VALUE"""),42.0)</f>
        <v>42</v>
      </c>
      <c r="C2158" s="1">
        <f>IFERROR(__xludf.DUMMYFUNCTION("""COMPUTED_VALUE"""),42.26)</f>
        <v>42.26</v>
      </c>
      <c r="D2158" s="1">
        <f>IFERROR(__xludf.DUMMYFUNCTION("""COMPUTED_VALUE"""),41.55)</f>
        <v>41.55</v>
      </c>
      <c r="E2158" s="1">
        <f>IFERROR(__xludf.DUMMYFUNCTION("""COMPUTED_VALUE"""),41.87)</f>
        <v>41.87</v>
      </c>
      <c r="F2158" s="1">
        <f>IFERROR(__xludf.DUMMYFUNCTION("""COMPUTED_VALUE"""),332822.0)</f>
        <v>332822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IFERROR(__xludf.DUMMYFUNCTION("""COMPUTED_VALUE"""),41.97)</f>
        <v>41.97</v>
      </c>
      <c r="C2159" s="1">
        <f>IFERROR(__xludf.DUMMYFUNCTION("""COMPUTED_VALUE"""),42.27)</f>
        <v>42.27</v>
      </c>
      <c r="D2159" s="1">
        <f>IFERROR(__xludf.DUMMYFUNCTION("""COMPUTED_VALUE"""),41.7)</f>
        <v>41.7</v>
      </c>
      <c r="E2159" s="1">
        <f>IFERROR(__xludf.DUMMYFUNCTION("""COMPUTED_VALUE"""),41.73)</f>
        <v>41.73</v>
      </c>
      <c r="F2159" s="1">
        <f>IFERROR(__xludf.DUMMYFUNCTION("""COMPUTED_VALUE"""),291934.0)</f>
        <v>291934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IFERROR(__xludf.DUMMYFUNCTION("""COMPUTED_VALUE"""),41.76)</f>
        <v>41.76</v>
      </c>
      <c r="C2160" s="1">
        <f>IFERROR(__xludf.DUMMYFUNCTION("""COMPUTED_VALUE"""),41.83)</f>
        <v>41.83</v>
      </c>
      <c r="D2160" s="1">
        <f>IFERROR(__xludf.DUMMYFUNCTION("""COMPUTED_VALUE"""),41.31)</f>
        <v>41.31</v>
      </c>
      <c r="E2160" s="1">
        <f>IFERROR(__xludf.DUMMYFUNCTION("""COMPUTED_VALUE"""),41.59)</f>
        <v>41.59</v>
      </c>
      <c r="F2160" s="1">
        <f>IFERROR(__xludf.DUMMYFUNCTION("""COMPUTED_VALUE"""),400229.0)</f>
        <v>400229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IFERROR(__xludf.DUMMYFUNCTION("""COMPUTED_VALUE"""),41.64)</f>
        <v>41.64</v>
      </c>
      <c r="C2161" s="1">
        <f>IFERROR(__xludf.DUMMYFUNCTION("""COMPUTED_VALUE"""),42.1)</f>
        <v>42.1</v>
      </c>
      <c r="D2161" s="1">
        <f>IFERROR(__xludf.DUMMYFUNCTION("""COMPUTED_VALUE"""),41.57)</f>
        <v>41.57</v>
      </c>
      <c r="E2161" s="1">
        <f>IFERROR(__xludf.DUMMYFUNCTION("""COMPUTED_VALUE"""),41.95)</f>
        <v>41.95</v>
      </c>
      <c r="F2161" s="1">
        <f>IFERROR(__xludf.DUMMYFUNCTION("""COMPUTED_VALUE"""),235080.0)</f>
        <v>235080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IFERROR(__xludf.DUMMYFUNCTION("""COMPUTED_VALUE"""),41.84)</f>
        <v>41.84</v>
      </c>
      <c r="C2162" s="1">
        <f>IFERROR(__xludf.DUMMYFUNCTION("""COMPUTED_VALUE"""),42.53)</f>
        <v>42.53</v>
      </c>
      <c r="D2162" s="1">
        <f>IFERROR(__xludf.DUMMYFUNCTION("""COMPUTED_VALUE"""),41.64)</f>
        <v>41.64</v>
      </c>
      <c r="E2162" s="1">
        <f>IFERROR(__xludf.DUMMYFUNCTION("""COMPUTED_VALUE"""),42.41)</f>
        <v>42.41</v>
      </c>
      <c r="F2162" s="1">
        <f>IFERROR(__xludf.DUMMYFUNCTION("""COMPUTED_VALUE"""),320133.0)</f>
        <v>320133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IFERROR(__xludf.DUMMYFUNCTION("""COMPUTED_VALUE"""),42.46)</f>
        <v>42.46</v>
      </c>
      <c r="C2163" s="1">
        <f>IFERROR(__xludf.DUMMYFUNCTION("""COMPUTED_VALUE"""),42.64)</f>
        <v>42.64</v>
      </c>
      <c r="D2163" s="1">
        <f>IFERROR(__xludf.DUMMYFUNCTION("""COMPUTED_VALUE"""),41.86)</f>
        <v>41.86</v>
      </c>
      <c r="E2163" s="1">
        <f>IFERROR(__xludf.DUMMYFUNCTION("""COMPUTED_VALUE"""),41.88)</f>
        <v>41.88</v>
      </c>
      <c r="F2163" s="1">
        <f>IFERROR(__xludf.DUMMYFUNCTION("""COMPUTED_VALUE"""),375369.0)</f>
        <v>375369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IFERROR(__xludf.DUMMYFUNCTION("""COMPUTED_VALUE"""),41.88)</f>
        <v>41.88</v>
      </c>
      <c r="C2164" s="1">
        <f>IFERROR(__xludf.DUMMYFUNCTION("""COMPUTED_VALUE"""),42.07)</f>
        <v>42.07</v>
      </c>
      <c r="D2164" s="1">
        <f>IFERROR(__xludf.DUMMYFUNCTION("""COMPUTED_VALUE"""),41.61)</f>
        <v>41.61</v>
      </c>
      <c r="E2164" s="1">
        <f>IFERROR(__xludf.DUMMYFUNCTION("""COMPUTED_VALUE"""),42.05)</f>
        <v>42.05</v>
      </c>
      <c r="F2164" s="1">
        <f>IFERROR(__xludf.DUMMYFUNCTION("""COMPUTED_VALUE"""),257793.0)</f>
        <v>257793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IFERROR(__xludf.DUMMYFUNCTION("""COMPUTED_VALUE"""),42.15)</f>
        <v>42.15</v>
      </c>
      <c r="C2165" s="1">
        <f>IFERROR(__xludf.DUMMYFUNCTION("""COMPUTED_VALUE"""),42.5)</f>
        <v>42.5</v>
      </c>
      <c r="D2165" s="1">
        <f>IFERROR(__xludf.DUMMYFUNCTION("""COMPUTED_VALUE"""),41.8)</f>
        <v>41.8</v>
      </c>
      <c r="E2165" s="1">
        <f>IFERROR(__xludf.DUMMYFUNCTION("""COMPUTED_VALUE"""),42.0)</f>
        <v>42</v>
      </c>
      <c r="F2165" s="1">
        <f>IFERROR(__xludf.DUMMYFUNCTION("""COMPUTED_VALUE"""),199087.0)</f>
        <v>199087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IFERROR(__xludf.DUMMYFUNCTION("""COMPUTED_VALUE"""),41.97)</f>
        <v>41.97</v>
      </c>
      <c r="C2166" s="1">
        <f>IFERROR(__xludf.DUMMYFUNCTION("""COMPUTED_VALUE"""),42.62)</f>
        <v>42.62</v>
      </c>
      <c r="D2166" s="1">
        <f>IFERROR(__xludf.DUMMYFUNCTION("""COMPUTED_VALUE"""),41.78)</f>
        <v>41.78</v>
      </c>
      <c r="E2166" s="1">
        <f>IFERROR(__xludf.DUMMYFUNCTION("""COMPUTED_VALUE"""),42.48)</f>
        <v>42.48</v>
      </c>
      <c r="F2166" s="1">
        <f>IFERROR(__xludf.DUMMYFUNCTION("""COMPUTED_VALUE"""),264996.0)</f>
        <v>264996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IFERROR(__xludf.DUMMYFUNCTION("""COMPUTED_VALUE"""),42.48)</f>
        <v>42.48</v>
      </c>
      <c r="C2167" s="1">
        <f>IFERROR(__xludf.DUMMYFUNCTION("""COMPUTED_VALUE"""),42.65)</f>
        <v>42.65</v>
      </c>
      <c r="D2167" s="1">
        <f>IFERROR(__xludf.DUMMYFUNCTION("""COMPUTED_VALUE"""),42.17)</f>
        <v>42.17</v>
      </c>
      <c r="E2167" s="1">
        <f>IFERROR(__xludf.DUMMYFUNCTION("""COMPUTED_VALUE"""),42.29)</f>
        <v>42.29</v>
      </c>
      <c r="F2167" s="1">
        <f>IFERROR(__xludf.DUMMYFUNCTION("""COMPUTED_VALUE"""),182611.0)</f>
        <v>182611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IFERROR(__xludf.DUMMYFUNCTION("""COMPUTED_VALUE"""),41.99)</f>
        <v>41.99</v>
      </c>
      <c r="C2168" s="1">
        <f>IFERROR(__xludf.DUMMYFUNCTION("""COMPUTED_VALUE"""),42.29)</f>
        <v>42.29</v>
      </c>
      <c r="D2168" s="1">
        <f>IFERROR(__xludf.DUMMYFUNCTION("""COMPUTED_VALUE"""),41.55)</f>
        <v>41.55</v>
      </c>
      <c r="E2168" s="1">
        <f>IFERROR(__xludf.DUMMYFUNCTION("""COMPUTED_VALUE"""),41.94)</f>
        <v>41.94</v>
      </c>
      <c r="F2168" s="1">
        <f>IFERROR(__xludf.DUMMYFUNCTION("""COMPUTED_VALUE"""),286116.0)</f>
        <v>286116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IFERROR(__xludf.DUMMYFUNCTION("""COMPUTED_VALUE"""),41.93)</f>
        <v>41.93</v>
      </c>
      <c r="C2169" s="1">
        <f>IFERROR(__xludf.DUMMYFUNCTION("""COMPUTED_VALUE"""),42.0)</f>
        <v>42</v>
      </c>
      <c r="D2169" s="1">
        <f>IFERROR(__xludf.DUMMYFUNCTION("""COMPUTED_VALUE"""),41.38)</f>
        <v>41.38</v>
      </c>
      <c r="E2169" s="1">
        <f>IFERROR(__xludf.DUMMYFUNCTION("""COMPUTED_VALUE"""),41.42)</f>
        <v>41.42</v>
      </c>
      <c r="F2169" s="1">
        <f>IFERROR(__xludf.DUMMYFUNCTION("""COMPUTED_VALUE"""),292083.0)</f>
        <v>292083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IFERROR(__xludf.DUMMYFUNCTION("""COMPUTED_VALUE"""),41.57)</f>
        <v>41.57</v>
      </c>
      <c r="C2170" s="1">
        <f>IFERROR(__xludf.DUMMYFUNCTION("""COMPUTED_VALUE"""),42.36)</f>
        <v>42.36</v>
      </c>
      <c r="D2170" s="1">
        <f>IFERROR(__xludf.DUMMYFUNCTION("""COMPUTED_VALUE"""),41.57)</f>
        <v>41.57</v>
      </c>
      <c r="E2170" s="1">
        <f>IFERROR(__xludf.DUMMYFUNCTION("""COMPUTED_VALUE"""),42.11)</f>
        <v>42.11</v>
      </c>
      <c r="F2170" s="1">
        <f>IFERROR(__xludf.DUMMYFUNCTION("""COMPUTED_VALUE"""),257256.0)</f>
        <v>257256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IFERROR(__xludf.DUMMYFUNCTION("""COMPUTED_VALUE"""),41.92)</f>
        <v>41.92</v>
      </c>
      <c r="C2171" s="1">
        <f>IFERROR(__xludf.DUMMYFUNCTION("""COMPUTED_VALUE"""),42.23)</f>
        <v>42.23</v>
      </c>
      <c r="D2171" s="1">
        <f>IFERROR(__xludf.DUMMYFUNCTION("""COMPUTED_VALUE"""),41.43)</f>
        <v>41.43</v>
      </c>
      <c r="E2171" s="1">
        <f>IFERROR(__xludf.DUMMYFUNCTION("""COMPUTED_VALUE"""),41.54)</f>
        <v>41.54</v>
      </c>
      <c r="F2171" s="1">
        <f>IFERROR(__xludf.DUMMYFUNCTION("""COMPUTED_VALUE"""),272250.0)</f>
        <v>272250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IFERROR(__xludf.DUMMYFUNCTION("""COMPUTED_VALUE"""),41.65)</f>
        <v>41.65</v>
      </c>
      <c r="C2172" s="1">
        <f>IFERROR(__xludf.DUMMYFUNCTION("""COMPUTED_VALUE"""),42.41)</f>
        <v>42.41</v>
      </c>
      <c r="D2172" s="1">
        <f>IFERROR(__xludf.DUMMYFUNCTION("""COMPUTED_VALUE"""),41.65)</f>
        <v>41.65</v>
      </c>
      <c r="E2172" s="1">
        <f>IFERROR(__xludf.DUMMYFUNCTION("""COMPUTED_VALUE"""),42.17)</f>
        <v>42.17</v>
      </c>
      <c r="F2172" s="1">
        <f>IFERROR(__xludf.DUMMYFUNCTION("""COMPUTED_VALUE"""),150659.0)</f>
        <v>150659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IFERROR(__xludf.DUMMYFUNCTION("""COMPUTED_VALUE"""),42.15)</f>
        <v>42.15</v>
      </c>
      <c r="C2173" s="1">
        <f>IFERROR(__xludf.DUMMYFUNCTION("""COMPUTED_VALUE"""),42.51)</f>
        <v>42.51</v>
      </c>
      <c r="D2173" s="1">
        <f>IFERROR(__xludf.DUMMYFUNCTION("""COMPUTED_VALUE"""),41.86)</f>
        <v>41.86</v>
      </c>
      <c r="E2173" s="1">
        <f>IFERROR(__xludf.DUMMYFUNCTION("""COMPUTED_VALUE"""),42.47)</f>
        <v>42.47</v>
      </c>
      <c r="F2173" s="1">
        <f>IFERROR(__xludf.DUMMYFUNCTION("""COMPUTED_VALUE"""),324943.0)</f>
        <v>324943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IFERROR(__xludf.DUMMYFUNCTION("""COMPUTED_VALUE"""),42.48)</f>
        <v>42.48</v>
      </c>
      <c r="C2174" s="1">
        <f>IFERROR(__xludf.DUMMYFUNCTION("""COMPUTED_VALUE"""),42.73)</f>
        <v>42.73</v>
      </c>
      <c r="D2174" s="1">
        <f>IFERROR(__xludf.DUMMYFUNCTION("""COMPUTED_VALUE"""),42.17)</f>
        <v>42.17</v>
      </c>
      <c r="E2174" s="1">
        <f>IFERROR(__xludf.DUMMYFUNCTION("""COMPUTED_VALUE"""),42.4)</f>
        <v>42.4</v>
      </c>
      <c r="F2174" s="1">
        <f>IFERROR(__xludf.DUMMYFUNCTION("""COMPUTED_VALUE"""),231758.0)</f>
        <v>231758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IFERROR(__xludf.DUMMYFUNCTION("""COMPUTED_VALUE"""),42.5)</f>
        <v>42.5</v>
      </c>
      <c r="C2175" s="1">
        <f>IFERROR(__xludf.DUMMYFUNCTION("""COMPUTED_VALUE"""),43.37)</f>
        <v>43.37</v>
      </c>
      <c r="D2175" s="1">
        <f>IFERROR(__xludf.DUMMYFUNCTION("""COMPUTED_VALUE"""),42.44)</f>
        <v>42.44</v>
      </c>
      <c r="E2175" s="1">
        <f>IFERROR(__xludf.DUMMYFUNCTION("""COMPUTED_VALUE"""),43.08)</f>
        <v>43.08</v>
      </c>
      <c r="F2175" s="1">
        <f>IFERROR(__xludf.DUMMYFUNCTION("""COMPUTED_VALUE"""),404607.0)</f>
        <v>404607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IFERROR(__xludf.DUMMYFUNCTION("""COMPUTED_VALUE"""),42.95)</f>
        <v>42.95</v>
      </c>
      <c r="C2176" s="1">
        <f>IFERROR(__xludf.DUMMYFUNCTION("""COMPUTED_VALUE"""),43.19)</f>
        <v>43.19</v>
      </c>
      <c r="D2176" s="1">
        <f>IFERROR(__xludf.DUMMYFUNCTION("""COMPUTED_VALUE"""),42.85)</f>
        <v>42.85</v>
      </c>
      <c r="E2176" s="1">
        <f>IFERROR(__xludf.DUMMYFUNCTION("""COMPUTED_VALUE"""),42.94)</f>
        <v>42.94</v>
      </c>
      <c r="F2176" s="1">
        <f>IFERROR(__xludf.DUMMYFUNCTION("""COMPUTED_VALUE"""),242454.0)</f>
        <v>242454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IFERROR(__xludf.DUMMYFUNCTION("""COMPUTED_VALUE"""),42.95)</f>
        <v>42.95</v>
      </c>
      <c r="C2177" s="1">
        <f>IFERROR(__xludf.DUMMYFUNCTION("""COMPUTED_VALUE"""),42.95)</f>
        <v>42.95</v>
      </c>
      <c r="D2177" s="1">
        <f>IFERROR(__xludf.DUMMYFUNCTION("""COMPUTED_VALUE"""),42.51)</f>
        <v>42.51</v>
      </c>
      <c r="E2177" s="1">
        <f>IFERROR(__xludf.DUMMYFUNCTION("""COMPUTED_VALUE"""),42.77)</f>
        <v>42.77</v>
      </c>
      <c r="F2177" s="1">
        <f>IFERROR(__xludf.DUMMYFUNCTION("""COMPUTED_VALUE"""),241203.0)</f>
        <v>241203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IFERROR(__xludf.DUMMYFUNCTION("""COMPUTED_VALUE"""),42.83)</f>
        <v>42.83</v>
      </c>
      <c r="C2178" s="1">
        <f>IFERROR(__xludf.DUMMYFUNCTION("""COMPUTED_VALUE"""),42.91)</f>
        <v>42.91</v>
      </c>
      <c r="D2178" s="1">
        <f>IFERROR(__xludf.DUMMYFUNCTION("""COMPUTED_VALUE"""),42.5)</f>
        <v>42.5</v>
      </c>
      <c r="E2178" s="1">
        <f>IFERROR(__xludf.DUMMYFUNCTION("""COMPUTED_VALUE"""),42.52)</f>
        <v>42.52</v>
      </c>
      <c r="F2178" s="1">
        <f>IFERROR(__xludf.DUMMYFUNCTION("""COMPUTED_VALUE"""),237702.0)</f>
        <v>237702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IFERROR(__xludf.DUMMYFUNCTION("""COMPUTED_VALUE"""),42.55)</f>
        <v>42.55</v>
      </c>
      <c r="C2179" s="1">
        <f>IFERROR(__xludf.DUMMYFUNCTION("""COMPUTED_VALUE"""),42.89)</f>
        <v>42.89</v>
      </c>
      <c r="D2179" s="1">
        <f>IFERROR(__xludf.DUMMYFUNCTION("""COMPUTED_VALUE"""),42.33)</f>
        <v>42.33</v>
      </c>
      <c r="E2179" s="1">
        <f>IFERROR(__xludf.DUMMYFUNCTION("""COMPUTED_VALUE"""),42.41)</f>
        <v>42.41</v>
      </c>
      <c r="F2179" s="1">
        <f>IFERROR(__xludf.DUMMYFUNCTION("""COMPUTED_VALUE"""),207322.0)</f>
        <v>207322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IFERROR(__xludf.DUMMYFUNCTION("""COMPUTED_VALUE"""),42.6)</f>
        <v>42.6</v>
      </c>
      <c r="C2180" s="1">
        <f>IFERROR(__xludf.DUMMYFUNCTION("""COMPUTED_VALUE"""),42.6)</f>
        <v>42.6</v>
      </c>
      <c r="D2180" s="1">
        <f>IFERROR(__xludf.DUMMYFUNCTION("""COMPUTED_VALUE"""),41.91)</f>
        <v>41.91</v>
      </c>
      <c r="E2180" s="1">
        <f>IFERROR(__xludf.DUMMYFUNCTION("""COMPUTED_VALUE"""),42.16)</f>
        <v>42.16</v>
      </c>
      <c r="F2180" s="1">
        <f>IFERROR(__xludf.DUMMYFUNCTION("""COMPUTED_VALUE"""),215212.0)</f>
        <v>215212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IFERROR(__xludf.DUMMYFUNCTION("""COMPUTED_VALUE"""),42.24)</f>
        <v>42.24</v>
      </c>
      <c r="C2181" s="1">
        <f>IFERROR(__xludf.DUMMYFUNCTION("""COMPUTED_VALUE"""),42.26)</f>
        <v>42.26</v>
      </c>
      <c r="D2181" s="1">
        <f>IFERROR(__xludf.DUMMYFUNCTION("""COMPUTED_VALUE"""),41.62)</f>
        <v>41.62</v>
      </c>
      <c r="E2181" s="1">
        <f>IFERROR(__xludf.DUMMYFUNCTION("""COMPUTED_VALUE"""),42.05)</f>
        <v>42.05</v>
      </c>
      <c r="F2181" s="1">
        <f>IFERROR(__xludf.DUMMYFUNCTION("""COMPUTED_VALUE"""),235074.0)</f>
        <v>235074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IFERROR(__xludf.DUMMYFUNCTION("""COMPUTED_VALUE"""),42.0)</f>
        <v>42</v>
      </c>
      <c r="C2182" s="1">
        <f>IFERROR(__xludf.DUMMYFUNCTION("""COMPUTED_VALUE"""),42.5)</f>
        <v>42.5</v>
      </c>
      <c r="D2182" s="1">
        <f>IFERROR(__xludf.DUMMYFUNCTION("""COMPUTED_VALUE"""),41.75)</f>
        <v>41.75</v>
      </c>
      <c r="E2182" s="1">
        <f>IFERROR(__xludf.DUMMYFUNCTION("""COMPUTED_VALUE"""),41.92)</f>
        <v>41.92</v>
      </c>
      <c r="F2182" s="1">
        <f>IFERROR(__xludf.DUMMYFUNCTION("""COMPUTED_VALUE"""),405811.0)</f>
        <v>405811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IFERROR(__xludf.DUMMYFUNCTION("""COMPUTED_VALUE"""),41.64)</f>
        <v>41.64</v>
      </c>
      <c r="C2183" s="1">
        <f>IFERROR(__xludf.DUMMYFUNCTION("""COMPUTED_VALUE"""),42.36)</f>
        <v>42.36</v>
      </c>
      <c r="D2183" s="1">
        <f>IFERROR(__xludf.DUMMYFUNCTION("""COMPUTED_VALUE"""),41.43)</f>
        <v>41.43</v>
      </c>
      <c r="E2183" s="1">
        <f>IFERROR(__xludf.DUMMYFUNCTION("""COMPUTED_VALUE"""),42.3)</f>
        <v>42.3</v>
      </c>
      <c r="F2183" s="1">
        <f>IFERROR(__xludf.DUMMYFUNCTION("""COMPUTED_VALUE"""),349602.0)</f>
        <v>349602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IFERROR(__xludf.DUMMYFUNCTION("""COMPUTED_VALUE"""),42.22)</f>
        <v>42.22</v>
      </c>
      <c r="C2184" s="1">
        <f>IFERROR(__xludf.DUMMYFUNCTION("""COMPUTED_VALUE"""),42.68)</f>
        <v>42.68</v>
      </c>
      <c r="D2184" s="1">
        <f>IFERROR(__xludf.DUMMYFUNCTION("""COMPUTED_VALUE"""),42.06)</f>
        <v>42.06</v>
      </c>
      <c r="E2184" s="1">
        <f>IFERROR(__xludf.DUMMYFUNCTION("""COMPUTED_VALUE"""),42.42)</f>
        <v>42.42</v>
      </c>
      <c r="F2184" s="1">
        <f>IFERROR(__xludf.DUMMYFUNCTION("""COMPUTED_VALUE"""),200854.0)</f>
        <v>200854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IFERROR(__xludf.DUMMYFUNCTION("""COMPUTED_VALUE"""),42.45)</f>
        <v>42.45</v>
      </c>
      <c r="C2185" s="1">
        <f>IFERROR(__xludf.DUMMYFUNCTION("""COMPUTED_VALUE"""),42.71)</f>
        <v>42.71</v>
      </c>
      <c r="D2185" s="1">
        <f>IFERROR(__xludf.DUMMYFUNCTION("""COMPUTED_VALUE"""),42.34)</f>
        <v>42.34</v>
      </c>
      <c r="E2185" s="1">
        <f>IFERROR(__xludf.DUMMYFUNCTION("""COMPUTED_VALUE"""),42.49)</f>
        <v>42.49</v>
      </c>
      <c r="F2185" s="1">
        <f>IFERROR(__xludf.DUMMYFUNCTION("""COMPUTED_VALUE"""),146383.0)</f>
        <v>146383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IFERROR(__xludf.DUMMYFUNCTION("""COMPUTED_VALUE"""),42.45)</f>
        <v>42.45</v>
      </c>
      <c r="C2186" s="1">
        <f>IFERROR(__xludf.DUMMYFUNCTION("""COMPUTED_VALUE"""),42.67)</f>
        <v>42.67</v>
      </c>
      <c r="D2186" s="1">
        <f>IFERROR(__xludf.DUMMYFUNCTION("""COMPUTED_VALUE"""),42.27)</f>
        <v>42.27</v>
      </c>
      <c r="E2186" s="1">
        <f>IFERROR(__xludf.DUMMYFUNCTION("""COMPUTED_VALUE"""),42.29)</f>
        <v>42.29</v>
      </c>
      <c r="F2186" s="1">
        <f>IFERROR(__xludf.DUMMYFUNCTION("""COMPUTED_VALUE"""),203667.0)</f>
        <v>203667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IFERROR(__xludf.DUMMYFUNCTION("""COMPUTED_VALUE"""),42.36)</f>
        <v>42.36</v>
      </c>
      <c r="C2187" s="1">
        <f>IFERROR(__xludf.DUMMYFUNCTION("""COMPUTED_VALUE"""),42.39)</f>
        <v>42.39</v>
      </c>
      <c r="D2187" s="1">
        <f>IFERROR(__xludf.DUMMYFUNCTION("""COMPUTED_VALUE"""),42.04)</f>
        <v>42.04</v>
      </c>
      <c r="E2187" s="1">
        <f>IFERROR(__xludf.DUMMYFUNCTION("""COMPUTED_VALUE"""),42.29)</f>
        <v>42.29</v>
      </c>
      <c r="F2187" s="1">
        <f>IFERROR(__xludf.DUMMYFUNCTION("""COMPUTED_VALUE"""),159188.0)</f>
        <v>159188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IFERROR(__xludf.DUMMYFUNCTION("""COMPUTED_VALUE"""),42.52)</f>
        <v>42.52</v>
      </c>
      <c r="C2188" s="1">
        <f>IFERROR(__xludf.DUMMYFUNCTION("""COMPUTED_VALUE"""),42.62)</f>
        <v>42.62</v>
      </c>
      <c r="D2188" s="1">
        <f>IFERROR(__xludf.DUMMYFUNCTION("""COMPUTED_VALUE"""),42.07)</f>
        <v>42.07</v>
      </c>
      <c r="E2188" s="1">
        <f>IFERROR(__xludf.DUMMYFUNCTION("""COMPUTED_VALUE"""),42.11)</f>
        <v>42.11</v>
      </c>
      <c r="F2188" s="1">
        <f>IFERROR(__xludf.DUMMYFUNCTION("""COMPUTED_VALUE"""),130850.0)</f>
        <v>130850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IFERROR(__xludf.DUMMYFUNCTION("""COMPUTED_VALUE"""),42.05)</f>
        <v>42.05</v>
      </c>
      <c r="C2189" s="1">
        <f>IFERROR(__xludf.DUMMYFUNCTION("""COMPUTED_VALUE"""),42.53)</f>
        <v>42.53</v>
      </c>
      <c r="D2189" s="1">
        <f>IFERROR(__xludf.DUMMYFUNCTION("""COMPUTED_VALUE"""),41.95)</f>
        <v>41.95</v>
      </c>
      <c r="E2189" s="1">
        <f>IFERROR(__xludf.DUMMYFUNCTION("""COMPUTED_VALUE"""),42.27)</f>
        <v>42.27</v>
      </c>
      <c r="F2189" s="1">
        <f>IFERROR(__xludf.DUMMYFUNCTION("""COMPUTED_VALUE"""),185229.0)</f>
        <v>185229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IFERROR(__xludf.DUMMYFUNCTION("""COMPUTED_VALUE"""),42.26)</f>
        <v>42.26</v>
      </c>
      <c r="C2190" s="1">
        <f>IFERROR(__xludf.DUMMYFUNCTION("""COMPUTED_VALUE"""),42.28)</f>
        <v>42.28</v>
      </c>
      <c r="D2190" s="1">
        <f>IFERROR(__xludf.DUMMYFUNCTION("""COMPUTED_VALUE"""),41.55)</f>
        <v>41.55</v>
      </c>
      <c r="E2190" s="1">
        <f>IFERROR(__xludf.DUMMYFUNCTION("""COMPUTED_VALUE"""),42.01)</f>
        <v>42.01</v>
      </c>
      <c r="F2190" s="1">
        <f>IFERROR(__xludf.DUMMYFUNCTION("""COMPUTED_VALUE"""),410435.0)</f>
        <v>410435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IFERROR(__xludf.DUMMYFUNCTION("""COMPUTED_VALUE"""),42.13)</f>
        <v>42.13</v>
      </c>
      <c r="C2191" s="1">
        <f>IFERROR(__xludf.DUMMYFUNCTION("""COMPUTED_VALUE"""),42.27)</f>
        <v>42.27</v>
      </c>
      <c r="D2191" s="1">
        <f>IFERROR(__xludf.DUMMYFUNCTION("""COMPUTED_VALUE"""),41.49)</f>
        <v>41.49</v>
      </c>
      <c r="E2191" s="1">
        <f>IFERROR(__xludf.DUMMYFUNCTION("""COMPUTED_VALUE"""),41.55)</f>
        <v>41.55</v>
      </c>
      <c r="F2191" s="1">
        <f>IFERROR(__xludf.DUMMYFUNCTION("""COMPUTED_VALUE"""),370415.0)</f>
        <v>370415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IFERROR(__xludf.DUMMYFUNCTION("""COMPUTED_VALUE"""),41.76)</f>
        <v>41.76</v>
      </c>
      <c r="C2192" s="1">
        <f>IFERROR(__xludf.DUMMYFUNCTION("""COMPUTED_VALUE"""),42.96)</f>
        <v>42.96</v>
      </c>
      <c r="D2192" s="1">
        <f>IFERROR(__xludf.DUMMYFUNCTION("""COMPUTED_VALUE"""),41.76)</f>
        <v>41.76</v>
      </c>
      <c r="E2192" s="1">
        <f>IFERROR(__xludf.DUMMYFUNCTION("""COMPUTED_VALUE"""),42.69)</f>
        <v>42.69</v>
      </c>
      <c r="F2192" s="1">
        <f>IFERROR(__xludf.DUMMYFUNCTION("""COMPUTED_VALUE"""),627063.0)</f>
        <v>627063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IFERROR(__xludf.DUMMYFUNCTION("""COMPUTED_VALUE"""),42.73)</f>
        <v>42.73</v>
      </c>
      <c r="C2193" s="1">
        <f>IFERROR(__xludf.DUMMYFUNCTION("""COMPUTED_VALUE"""),42.73)</f>
        <v>42.73</v>
      </c>
      <c r="D2193" s="1">
        <f>IFERROR(__xludf.DUMMYFUNCTION("""COMPUTED_VALUE"""),42.07)</f>
        <v>42.07</v>
      </c>
      <c r="E2193" s="1">
        <f>IFERROR(__xludf.DUMMYFUNCTION("""COMPUTED_VALUE"""),42.23)</f>
        <v>42.23</v>
      </c>
      <c r="F2193" s="1">
        <f>IFERROR(__xludf.DUMMYFUNCTION("""COMPUTED_VALUE"""),410350.0)</f>
        <v>410350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IFERROR(__xludf.DUMMYFUNCTION("""COMPUTED_VALUE"""),42.28)</f>
        <v>42.28</v>
      </c>
      <c r="C2194" s="1">
        <f>IFERROR(__xludf.DUMMYFUNCTION("""COMPUTED_VALUE"""),42.34)</f>
        <v>42.34</v>
      </c>
      <c r="D2194" s="1">
        <f>IFERROR(__xludf.DUMMYFUNCTION("""COMPUTED_VALUE"""),41.96)</f>
        <v>41.96</v>
      </c>
      <c r="E2194" s="1">
        <f>IFERROR(__xludf.DUMMYFUNCTION("""COMPUTED_VALUE"""),42.25)</f>
        <v>42.25</v>
      </c>
      <c r="F2194" s="1">
        <f>IFERROR(__xludf.DUMMYFUNCTION("""COMPUTED_VALUE"""),286738.0)</f>
        <v>286738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IFERROR(__xludf.DUMMYFUNCTION("""COMPUTED_VALUE"""),42.21)</f>
        <v>42.21</v>
      </c>
      <c r="C2195" s="1">
        <f>IFERROR(__xludf.DUMMYFUNCTION("""COMPUTED_VALUE"""),43.15)</f>
        <v>43.15</v>
      </c>
      <c r="D2195" s="1">
        <f>IFERROR(__xludf.DUMMYFUNCTION("""COMPUTED_VALUE"""),42.21)</f>
        <v>42.21</v>
      </c>
      <c r="E2195" s="1">
        <f>IFERROR(__xludf.DUMMYFUNCTION("""COMPUTED_VALUE"""),42.87)</f>
        <v>42.87</v>
      </c>
      <c r="F2195" s="1">
        <f>IFERROR(__xludf.DUMMYFUNCTION("""COMPUTED_VALUE"""),384165.0)</f>
        <v>384165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IFERROR(__xludf.DUMMYFUNCTION("""COMPUTED_VALUE"""),43.11)</f>
        <v>43.11</v>
      </c>
      <c r="C2196" s="1">
        <f>IFERROR(__xludf.DUMMYFUNCTION("""COMPUTED_VALUE"""),43.53)</f>
        <v>43.53</v>
      </c>
      <c r="D2196" s="1">
        <f>IFERROR(__xludf.DUMMYFUNCTION("""COMPUTED_VALUE"""),42.98)</f>
        <v>42.98</v>
      </c>
      <c r="E2196" s="1">
        <f>IFERROR(__xludf.DUMMYFUNCTION("""COMPUTED_VALUE"""),43.26)</f>
        <v>43.26</v>
      </c>
      <c r="F2196" s="1">
        <f>IFERROR(__xludf.DUMMYFUNCTION("""COMPUTED_VALUE"""),345020.0)</f>
        <v>345020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IFERROR(__xludf.DUMMYFUNCTION("""COMPUTED_VALUE"""),43.09)</f>
        <v>43.09</v>
      </c>
      <c r="C2197" s="1">
        <f>IFERROR(__xludf.DUMMYFUNCTION("""COMPUTED_VALUE"""),43.45)</f>
        <v>43.45</v>
      </c>
      <c r="D2197" s="1">
        <f>IFERROR(__xludf.DUMMYFUNCTION("""COMPUTED_VALUE"""),42.88)</f>
        <v>42.88</v>
      </c>
      <c r="E2197" s="1">
        <f>IFERROR(__xludf.DUMMYFUNCTION("""COMPUTED_VALUE"""),42.96)</f>
        <v>42.96</v>
      </c>
      <c r="F2197" s="1">
        <f>IFERROR(__xludf.DUMMYFUNCTION("""COMPUTED_VALUE"""),784140.0)</f>
        <v>784140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IFERROR(__xludf.DUMMYFUNCTION("""COMPUTED_VALUE"""),42.83)</f>
        <v>42.83</v>
      </c>
      <c r="C2198" s="1">
        <f>IFERROR(__xludf.DUMMYFUNCTION("""COMPUTED_VALUE"""),42.87)</f>
        <v>42.87</v>
      </c>
      <c r="D2198" s="1">
        <f>IFERROR(__xludf.DUMMYFUNCTION("""COMPUTED_VALUE"""),42.06)</f>
        <v>42.06</v>
      </c>
      <c r="E2198" s="1">
        <f>IFERROR(__xludf.DUMMYFUNCTION("""COMPUTED_VALUE"""),42.47)</f>
        <v>42.47</v>
      </c>
      <c r="F2198" s="1">
        <f>IFERROR(__xludf.DUMMYFUNCTION("""COMPUTED_VALUE"""),327097.0)</f>
        <v>327097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IFERROR(__xludf.DUMMYFUNCTION("""COMPUTED_VALUE"""),42.61)</f>
        <v>42.61</v>
      </c>
      <c r="C2199" s="1">
        <f>IFERROR(__xludf.DUMMYFUNCTION("""COMPUTED_VALUE"""),42.61)</f>
        <v>42.61</v>
      </c>
      <c r="D2199" s="1">
        <f>IFERROR(__xludf.DUMMYFUNCTION("""COMPUTED_VALUE"""),42.26)</f>
        <v>42.26</v>
      </c>
      <c r="E2199" s="1">
        <f>IFERROR(__xludf.DUMMYFUNCTION("""COMPUTED_VALUE"""),42.5)</f>
        <v>42.5</v>
      </c>
      <c r="F2199" s="1">
        <f>IFERROR(__xludf.DUMMYFUNCTION("""COMPUTED_VALUE"""),288102.0)</f>
        <v>288102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IFERROR(__xludf.DUMMYFUNCTION("""COMPUTED_VALUE"""),42.58)</f>
        <v>42.58</v>
      </c>
      <c r="C2200" s="1">
        <f>IFERROR(__xludf.DUMMYFUNCTION("""COMPUTED_VALUE"""),42.84)</f>
        <v>42.84</v>
      </c>
      <c r="D2200" s="1">
        <f>IFERROR(__xludf.DUMMYFUNCTION("""COMPUTED_VALUE"""),41.69)</f>
        <v>41.69</v>
      </c>
      <c r="E2200" s="1">
        <f>IFERROR(__xludf.DUMMYFUNCTION("""COMPUTED_VALUE"""),41.75)</f>
        <v>41.75</v>
      </c>
      <c r="F2200" s="1">
        <f>IFERROR(__xludf.DUMMYFUNCTION("""COMPUTED_VALUE"""),457761.0)</f>
        <v>457761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IFERROR(__xludf.DUMMYFUNCTION("""COMPUTED_VALUE"""),41.99)</f>
        <v>41.99</v>
      </c>
      <c r="C2201" s="1">
        <f>IFERROR(__xludf.DUMMYFUNCTION("""COMPUTED_VALUE"""),42.46)</f>
        <v>42.46</v>
      </c>
      <c r="D2201" s="1">
        <f>IFERROR(__xludf.DUMMYFUNCTION("""COMPUTED_VALUE"""),41.41)</f>
        <v>41.41</v>
      </c>
      <c r="E2201" s="1">
        <f>IFERROR(__xludf.DUMMYFUNCTION("""COMPUTED_VALUE"""),41.43)</f>
        <v>41.43</v>
      </c>
      <c r="F2201" s="1">
        <f>IFERROR(__xludf.DUMMYFUNCTION("""COMPUTED_VALUE"""),833443.0)</f>
        <v>833443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IFERROR(__xludf.DUMMYFUNCTION("""COMPUTED_VALUE"""),41.21)</f>
        <v>41.21</v>
      </c>
      <c r="C2202" s="1">
        <f>IFERROR(__xludf.DUMMYFUNCTION("""COMPUTED_VALUE"""),41.72)</f>
        <v>41.72</v>
      </c>
      <c r="D2202" s="1">
        <f>IFERROR(__xludf.DUMMYFUNCTION("""COMPUTED_VALUE"""),41.21)</f>
        <v>41.21</v>
      </c>
      <c r="E2202" s="1">
        <f>IFERROR(__xludf.DUMMYFUNCTION("""COMPUTED_VALUE"""),41.44)</f>
        <v>41.44</v>
      </c>
      <c r="F2202" s="1">
        <f>IFERROR(__xludf.DUMMYFUNCTION("""COMPUTED_VALUE"""),560181.0)</f>
        <v>560181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IFERROR(__xludf.DUMMYFUNCTION("""COMPUTED_VALUE"""),41.9)</f>
        <v>41.9</v>
      </c>
      <c r="C2203" s="1">
        <f>IFERROR(__xludf.DUMMYFUNCTION("""COMPUTED_VALUE"""),41.9)</f>
        <v>41.9</v>
      </c>
      <c r="D2203" s="1">
        <f>IFERROR(__xludf.DUMMYFUNCTION("""COMPUTED_VALUE"""),41.05)</f>
        <v>41.05</v>
      </c>
      <c r="E2203" s="1">
        <f>IFERROR(__xludf.DUMMYFUNCTION("""COMPUTED_VALUE"""),41.2)</f>
        <v>41.2</v>
      </c>
      <c r="F2203" s="1">
        <f>IFERROR(__xludf.DUMMYFUNCTION("""COMPUTED_VALUE"""),409330.0)</f>
        <v>409330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IFERROR(__xludf.DUMMYFUNCTION("""COMPUTED_VALUE"""),41.18)</f>
        <v>41.18</v>
      </c>
      <c r="C2204" s="1">
        <f>IFERROR(__xludf.DUMMYFUNCTION("""COMPUTED_VALUE"""),41.58)</f>
        <v>41.58</v>
      </c>
      <c r="D2204" s="1">
        <f>IFERROR(__xludf.DUMMYFUNCTION("""COMPUTED_VALUE"""),40.9)</f>
        <v>40.9</v>
      </c>
      <c r="E2204" s="1">
        <f>IFERROR(__xludf.DUMMYFUNCTION("""COMPUTED_VALUE"""),41.13)</f>
        <v>41.13</v>
      </c>
      <c r="F2204" s="1">
        <f>IFERROR(__xludf.DUMMYFUNCTION("""COMPUTED_VALUE"""),471557.0)</f>
        <v>471557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IFERROR(__xludf.DUMMYFUNCTION("""COMPUTED_VALUE"""),41.44)</f>
        <v>41.44</v>
      </c>
      <c r="C2205" s="1">
        <f>IFERROR(__xludf.DUMMYFUNCTION("""COMPUTED_VALUE"""),42.6)</f>
        <v>42.6</v>
      </c>
      <c r="D2205" s="1">
        <f>IFERROR(__xludf.DUMMYFUNCTION("""COMPUTED_VALUE"""),41.17)</f>
        <v>41.17</v>
      </c>
      <c r="E2205" s="1">
        <f>IFERROR(__xludf.DUMMYFUNCTION("""COMPUTED_VALUE"""),42.37)</f>
        <v>42.37</v>
      </c>
      <c r="F2205" s="1">
        <f>IFERROR(__xludf.DUMMYFUNCTION("""COMPUTED_VALUE"""),592300.0)</f>
        <v>592300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IFERROR(__xludf.DUMMYFUNCTION("""COMPUTED_VALUE"""),42.39)</f>
        <v>42.39</v>
      </c>
      <c r="C2206" s="1">
        <f>IFERROR(__xludf.DUMMYFUNCTION("""COMPUTED_VALUE"""),42.92)</f>
        <v>42.92</v>
      </c>
      <c r="D2206" s="1">
        <f>IFERROR(__xludf.DUMMYFUNCTION("""COMPUTED_VALUE"""),41.7)</f>
        <v>41.7</v>
      </c>
      <c r="E2206" s="1">
        <f>IFERROR(__xludf.DUMMYFUNCTION("""COMPUTED_VALUE"""),42.42)</f>
        <v>42.42</v>
      </c>
      <c r="F2206" s="1">
        <f>IFERROR(__xludf.DUMMYFUNCTION("""COMPUTED_VALUE"""),654972.0)</f>
        <v>654972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IFERROR(__xludf.DUMMYFUNCTION("""COMPUTED_VALUE"""),42.59)</f>
        <v>42.59</v>
      </c>
      <c r="C2207" s="1">
        <f>IFERROR(__xludf.DUMMYFUNCTION("""COMPUTED_VALUE"""),42.66)</f>
        <v>42.66</v>
      </c>
      <c r="D2207" s="1">
        <f>IFERROR(__xludf.DUMMYFUNCTION("""COMPUTED_VALUE"""),41.88)</f>
        <v>41.88</v>
      </c>
      <c r="E2207" s="1">
        <f>IFERROR(__xludf.DUMMYFUNCTION("""COMPUTED_VALUE"""),42.25)</f>
        <v>42.25</v>
      </c>
      <c r="F2207" s="1">
        <f>IFERROR(__xludf.DUMMYFUNCTION("""COMPUTED_VALUE"""),466038.0)</f>
        <v>466038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IFERROR(__xludf.DUMMYFUNCTION("""COMPUTED_VALUE"""),42.29)</f>
        <v>42.29</v>
      </c>
      <c r="C2208" s="1">
        <f>IFERROR(__xludf.DUMMYFUNCTION("""COMPUTED_VALUE"""),42.98)</f>
        <v>42.98</v>
      </c>
      <c r="D2208" s="1">
        <f>IFERROR(__xludf.DUMMYFUNCTION("""COMPUTED_VALUE"""),42.06)</f>
        <v>42.06</v>
      </c>
      <c r="E2208" s="1">
        <f>IFERROR(__xludf.DUMMYFUNCTION("""COMPUTED_VALUE"""),42.79)</f>
        <v>42.79</v>
      </c>
      <c r="F2208" s="1">
        <f>IFERROR(__xludf.DUMMYFUNCTION("""COMPUTED_VALUE"""),543837.0)</f>
        <v>543837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IFERROR(__xludf.DUMMYFUNCTION("""COMPUTED_VALUE"""),42.68)</f>
        <v>42.68</v>
      </c>
      <c r="C2209" s="1">
        <f>IFERROR(__xludf.DUMMYFUNCTION("""COMPUTED_VALUE"""),42.9)</f>
        <v>42.9</v>
      </c>
      <c r="D2209" s="1">
        <f>IFERROR(__xludf.DUMMYFUNCTION("""COMPUTED_VALUE"""),42.43)</f>
        <v>42.43</v>
      </c>
      <c r="E2209" s="1">
        <f>IFERROR(__xludf.DUMMYFUNCTION("""COMPUTED_VALUE"""),42.53)</f>
        <v>42.53</v>
      </c>
      <c r="F2209" s="1">
        <f>IFERROR(__xludf.DUMMYFUNCTION("""COMPUTED_VALUE"""),365430.0)</f>
        <v>365430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IFERROR(__xludf.DUMMYFUNCTION("""COMPUTED_VALUE"""),42.61)</f>
        <v>42.61</v>
      </c>
      <c r="C2210" s="1">
        <f>IFERROR(__xludf.DUMMYFUNCTION("""COMPUTED_VALUE"""),42.96)</f>
        <v>42.96</v>
      </c>
      <c r="D2210" s="1">
        <f>IFERROR(__xludf.DUMMYFUNCTION("""COMPUTED_VALUE"""),41.78)</f>
        <v>41.78</v>
      </c>
      <c r="E2210" s="1">
        <f>IFERROR(__xludf.DUMMYFUNCTION("""COMPUTED_VALUE"""),41.84)</f>
        <v>41.84</v>
      </c>
      <c r="F2210" s="1">
        <f>IFERROR(__xludf.DUMMYFUNCTION("""COMPUTED_VALUE"""),470673.0)</f>
        <v>470673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IFERROR(__xludf.DUMMYFUNCTION("""COMPUTED_VALUE"""),41.72)</f>
        <v>41.72</v>
      </c>
      <c r="C2211" s="1">
        <f>IFERROR(__xludf.DUMMYFUNCTION("""COMPUTED_VALUE"""),41.77)</f>
        <v>41.77</v>
      </c>
      <c r="D2211" s="1">
        <f>IFERROR(__xludf.DUMMYFUNCTION("""COMPUTED_VALUE"""),40.2)</f>
        <v>40.2</v>
      </c>
      <c r="E2211" s="1">
        <f>IFERROR(__xludf.DUMMYFUNCTION("""COMPUTED_VALUE"""),40.21)</f>
        <v>40.21</v>
      </c>
      <c r="F2211" s="1">
        <f>IFERROR(__xludf.DUMMYFUNCTION("""COMPUTED_VALUE"""),585641.0)</f>
        <v>585641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IFERROR(__xludf.DUMMYFUNCTION("""COMPUTED_VALUE"""),40.8)</f>
        <v>40.8</v>
      </c>
      <c r="C2212" s="1">
        <f>IFERROR(__xludf.DUMMYFUNCTION("""COMPUTED_VALUE"""),40.8)</f>
        <v>40.8</v>
      </c>
      <c r="D2212" s="1">
        <f>IFERROR(__xludf.DUMMYFUNCTION("""COMPUTED_VALUE"""),38.03)</f>
        <v>38.03</v>
      </c>
      <c r="E2212" s="1">
        <f>IFERROR(__xludf.DUMMYFUNCTION("""COMPUTED_VALUE"""),39.14)</f>
        <v>39.14</v>
      </c>
      <c r="F2212" s="1">
        <f>IFERROR(__xludf.DUMMYFUNCTION("""COMPUTED_VALUE"""),532275.0)</f>
        <v>532275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IFERROR(__xludf.DUMMYFUNCTION("""COMPUTED_VALUE"""),39.06)</f>
        <v>39.06</v>
      </c>
      <c r="C2213" s="1">
        <f>IFERROR(__xludf.DUMMYFUNCTION("""COMPUTED_VALUE"""),39.68)</f>
        <v>39.68</v>
      </c>
      <c r="D2213" s="1">
        <f>IFERROR(__xludf.DUMMYFUNCTION("""COMPUTED_VALUE"""),38.89)</f>
        <v>38.89</v>
      </c>
      <c r="E2213" s="1">
        <f>IFERROR(__xludf.DUMMYFUNCTION("""COMPUTED_VALUE"""),39.36)</f>
        <v>39.36</v>
      </c>
      <c r="F2213" s="1">
        <f>IFERROR(__xludf.DUMMYFUNCTION("""COMPUTED_VALUE"""),385914.0)</f>
        <v>385914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IFERROR(__xludf.DUMMYFUNCTION("""COMPUTED_VALUE"""),39.49)</f>
        <v>39.49</v>
      </c>
      <c r="C2214" s="1">
        <f>IFERROR(__xludf.DUMMYFUNCTION("""COMPUTED_VALUE"""),39.71)</f>
        <v>39.71</v>
      </c>
      <c r="D2214" s="1">
        <f>IFERROR(__xludf.DUMMYFUNCTION("""COMPUTED_VALUE"""),38.75)</f>
        <v>38.75</v>
      </c>
      <c r="E2214" s="1">
        <f>IFERROR(__xludf.DUMMYFUNCTION("""COMPUTED_VALUE"""),39.65)</f>
        <v>39.65</v>
      </c>
      <c r="F2214" s="1">
        <f>IFERROR(__xludf.DUMMYFUNCTION("""COMPUTED_VALUE"""),418962.0)</f>
        <v>418962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IFERROR(__xludf.DUMMYFUNCTION("""COMPUTED_VALUE"""),39.49)</f>
        <v>39.49</v>
      </c>
      <c r="C2215" s="1">
        <f>IFERROR(__xludf.DUMMYFUNCTION("""COMPUTED_VALUE"""),39.91)</f>
        <v>39.91</v>
      </c>
      <c r="D2215" s="1">
        <f>IFERROR(__xludf.DUMMYFUNCTION("""COMPUTED_VALUE"""),38.77)</f>
        <v>38.77</v>
      </c>
      <c r="E2215" s="1">
        <f>IFERROR(__xludf.DUMMYFUNCTION("""COMPUTED_VALUE"""),39.86)</f>
        <v>39.86</v>
      </c>
      <c r="F2215" s="1">
        <f>IFERROR(__xludf.DUMMYFUNCTION("""COMPUTED_VALUE"""),657142.0)</f>
        <v>657142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IFERROR(__xludf.DUMMYFUNCTION("""COMPUTED_VALUE"""),40.15)</f>
        <v>40.15</v>
      </c>
      <c r="C2216" s="1">
        <f>IFERROR(__xludf.DUMMYFUNCTION("""COMPUTED_VALUE"""),40.7)</f>
        <v>40.7</v>
      </c>
      <c r="D2216" s="1">
        <f>IFERROR(__xludf.DUMMYFUNCTION("""COMPUTED_VALUE"""),38.82)</f>
        <v>38.82</v>
      </c>
      <c r="E2216" s="1">
        <f>IFERROR(__xludf.DUMMYFUNCTION("""COMPUTED_VALUE"""),38.96)</f>
        <v>38.96</v>
      </c>
      <c r="F2216" s="1">
        <f>IFERROR(__xludf.DUMMYFUNCTION("""COMPUTED_VALUE"""),536245.0)</f>
        <v>536245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IFERROR(__xludf.DUMMYFUNCTION("""COMPUTED_VALUE"""),38.72)</f>
        <v>38.72</v>
      </c>
      <c r="C2217" s="1">
        <f>IFERROR(__xludf.DUMMYFUNCTION("""COMPUTED_VALUE"""),39.38)</f>
        <v>39.38</v>
      </c>
      <c r="D2217" s="1">
        <f>IFERROR(__xludf.DUMMYFUNCTION("""COMPUTED_VALUE"""),38.52)</f>
        <v>38.52</v>
      </c>
      <c r="E2217" s="1">
        <f>IFERROR(__xludf.DUMMYFUNCTION("""COMPUTED_VALUE"""),38.81)</f>
        <v>38.81</v>
      </c>
      <c r="F2217" s="1">
        <f>IFERROR(__xludf.DUMMYFUNCTION("""COMPUTED_VALUE"""),462741.0)</f>
        <v>462741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IFERROR(__xludf.DUMMYFUNCTION("""COMPUTED_VALUE"""),38.87)</f>
        <v>38.87</v>
      </c>
      <c r="C2218" s="1">
        <f>IFERROR(__xludf.DUMMYFUNCTION("""COMPUTED_VALUE"""),38.99)</f>
        <v>38.99</v>
      </c>
      <c r="D2218" s="1">
        <f>IFERROR(__xludf.DUMMYFUNCTION("""COMPUTED_VALUE"""),37.58)</f>
        <v>37.58</v>
      </c>
      <c r="E2218" s="1">
        <f>IFERROR(__xludf.DUMMYFUNCTION("""COMPUTED_VALUE"""),37.61)</f>
        <v>37.61</v>
      </c>
      <c r="F2218" s="1">
        <f>IFERROR(__xludf.DUMMYFUNCTION("""COMPUTED_VALUE"""),421275.0)</f>
        <v>421275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IFERROR(__xludf.DUMMYFUNCTION("""COMPUTED_VALUE"""),37.0)</f>
        <v>37</v>
      </c>
      <c r="C2219" s="1">
        <f>IFERROR(__xludf.DUMMYFUNCTION("""COMPUTED_VALUE"""),38.01)</f>
        <v>38.01</v>
      </c>
      <c r="D2219" s="1">
        <f>IFERROR(__xludf.DUMMYFUNCTION("""COMPUTED_VALUE"""),36.99)</f>
        <v>36.99</v>
      </c>
      <c r="E2219" s="1">
        <f>IFERROR(__xludf.DUMMYFUNCTION("""COMPUTED_VALUE"""),37.65)</f>
        <v>37.65</v>
      </c>
      <c r="F2219" s="1">
        <f>IFERROR(__xludf.DUMMYFUNCTION("""COMPUTED_VALUE"""),532174.0)</f>
        <v>532174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IFERROR(__xludf.DUMMYFUNCTION("""COMPUTED_VALUE"""),37.57)</f>
        <v>37.57</v>
      </c>
      <c r="C2220" s="1">
        <f>IFERROR(__xludf.DUMMYFUNCTION("""COMPUTED_VALUE"""),37.57)</f>
        <v>37.57</v>
      </c>
      <c r="D2220" s="1">
        <f>IFERROR(__xludf.DUMMYFUNCTION("""COMPUTED_VALUE"""),35.73)</f>
        <v>35.73</v>
      </c>
      <c r="E2220" s="1">
        <f>IFERROR(__xludf.DUMMYFUNCTION("""COMPUTED_VALUE"""),35.77)</f>
        <v>35.77</v>
      </c>
      <c r="F2220" s="1">
        <f>IFERROR(__xludf.DUMMYFUNCTION("""COMPUTED_VALUE"""),603862.0)</f>
        <v>603862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IFERROR(__xludf.DUMMYFUNCTION("""COMPUTED_VALUE"""),36.03)</f>
        <v>36.03</v>
      </c>
      <c r="C2221" s="1">
        <f>IFERROR(__xludf.DUMMYFUNCTION("""COMPUTED_VALUE"""),37.15)</f>
        <v>37.15</v>
      </c>
      <c r="D2221" s="1">
        <f>IFERROR(__xludf.DUMMYFUNCTION("""COMPUTED_VALUE"""),35.91)</f>
        <v>35.91</v>
      </c>
      <c r="E2221" s="1">
        <f>IFERROR(__xludf.DUMMYFUNCTION("""COMPUTED_VALUE"""),36.86)</f>
        <v>36.86</v>
      </c>
      <c r="F2221" s="1">
        <f>IFERROR(__xludf.DUMMYFUNCTION("""COMPUTED_VALUE"""),474469.0)</f>
        <v>474469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IFERROR(__xludf.DUMMYFUNCTION("""COMPUTED_VALUE"""),36.38)</f>
        <v>36.38</v>
      </c>
      <c r="C2222" s="1">
        <f>IFERROR(__xludf.DUMMYFUNCTION("""COMPUTED_VALUE"""),37.05)</f>
        <v>37.05</v>
      </c>
      <c r="D2222" s="1">
        <f>IFERROR(__xludf.DUMMYFUNCTION("""COMPUTED_VALUE"""),35.77)</f>
        <v>35.77</v>
      </c>
      <c r="E2222" s="1">
        <f>IFERROR(__xludf.DUMMYFUNCTION("""COMPUTED_VALUE"""),36.49)</f>
        <v>36.49</v>
      </c>
      <c r="F2222" s="1">
        <f>IFERROR(__xludf.DUMMYFUNCTION("""COMPUTED_VALUE"""),469206.0)</f>
        <v>469206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IFERROR(__xludf.DUMMYFUNCTION("""COMPUTED_VALUE"""),37.06)</f>
        <v>37.06</v>
      </c>
      <c r="C2223" s="1">
        <f>IFERROR(__xludf.DUMMYFUNCTION("""COMPUTED_VALUE"""),38.15)</f>
        <v>38.15</v>
      </c>
      <c r="D2223" s="1">
        <f>IFERROR(__xludf.DUMMYFUNCTION("""COMPUTED_VALUE"""),37.01)</f>
        <v>37.01</v>
      </c>
      <c r="E2223" s="1">
        <f>IFERROR(__xludf.DUMMYFUNCTION("""COMPUTED_VALUE"""),37.52)</f>
        <v>37.52</v>
      </c>
      <c r="F2223" s="1">
        <f>IFERROR(__xludf.DUMMYFUNCTION("""COMPUTED_VALUE"""),460359.0)</f>
        <v>460359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IFERROR(__xludf.DUMMYFUNCTION("""COMPUTED_VALUE"""),37.62)</f>
        <v>37.62</v>
      </c>
      <c r="C2224" s="1">
        <f>IFERROR(__xludf.DUMMYFUNCTION("""COMPUTED_VALUE"""),38.02)</f>
        <v>38.02</v>
      </c>
      <c r="D2224" s="1">
        <f>IFERROR(__xludf.DUMMYFUNCTION("""COMPUTED_VALUE"""),37.33)</f>
        <v>37.33</v>
      </c>
      <c r="E2224" s="1">
        <f>IFERROR(__xludf.DUMMYFUNCTION("""COMPUTED_VALUE"""),37.83)</f>
        <v>37.83</v>
      </c>
      <c r="F2224" s="1">
        <f>IFERROR(__xludf.DUMMYFUNCTION("""COMPUTED_VALUE"""),331860.0)</f>
        <v>331860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IFERROR(__xludf.DUMMYFUNCTION("""COMPUTED_VALUE"""),38.15)</f>
        <v>38.15</v>
      </c>
      <c r="C2225" s="1">
        <f>IFERROR(__xludf.DUMMYFUNCTION("""COMPUTED_VALUE"""),38.68)</f>
        <v>38.68</v>
      </c>
      <c r="D2225" s="1">
        <f>IFERROR(__xludf.DUMMYFUNCTION("""COMPUTED_VALUE"""),37.6)</f>
        <v>37.6</v>
      </c>
      <c r="E2225" s="1">
        <f>IFERROR(__xludf.DUMMYFUNCTION("""COMPUTED_VALUE"""),37.67)</f>
        <v>37.67</v>
      </c>
      <c r="F2225" s="1">
        <f>IFERROR(__xludf.DUMMYFUNCTION("""COMPUTED_VALUE"""),566311.0)</f>
        <v>566311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IFERROR(__xludf.DUMMYFUNCTION("""COMPUTED_VALUE"""),37.87)</f>
        <v>37.87</v>
      </c>
      <c r="C2226" s="1">
        <f>IFERROR(__xludf.DUMMYFUNCTION("""COMPUTED_VALUE"""),38.16)</f>
        <v>38.16</v>
      </c>
      <c r="D2226" s="1">
        <f>IFERROR(__xludf.DUMMYFUNCTION("""COMPUTED_VALUE"""),37.46)</f>
        <v>37.46</v>
      </c>
      <c r="E2226" s="1">
        <f>IFERROR(__xludf.DUMMYFUNCTION("""COMPUTED_VALUE"""),37.96)</f>
        <v>37.96</v>
      </c>
      <c r="F2226" s="1">
        <f>IFERROR(__xludf.DUMMYFUNCTION("""COMPUTED_VALUE"""),372667.0)</f>
        <v>372667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IFERROR(__xludf.DUMMYFUNCTION("""COMPUTED_VALUE"""),38.14)</f>
        <v>38.14</v>
      </c>
      <c r="C2227" s="1">
        <f>IFERROR(__xludf.DUMMYFUNCTION("""COMPUTED_VALUE"""),38.75)</f>
        <v>38.75</v>
      </c>
      <c r="D2227" s="1">
        <f>IFERROR(__xludf.DUMMYFUNCTION("""COMPUTED_VALUE"""),38.14)</f>
        <v>38.14</v>
      </c>
      <c r="E2227" s="1">
        <f>IFERROR(__xludf.DUMMYFUNCTION("""COMPUTED_VALUE"""),38.59)</f>
        <v>38.59</v>
      </c>
      <c r="F2227" s="1">
        <f>IFERROR(__xludf.DUMMYFUNCTION("""COMPUTED_VALUE"""),512622.0)</f>
        <v>512622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IFERROR(__xludf.DUMMYFUNCTION("""COMPUTED_VALUE"""),38.57)</f>
        <v>38.57</v>
      </c>
      <c r="C2228" s="1">
        <f>IFERROR(__xludf.DUMMYFUNCTION("""COMPUTED_VALUE"""),39.05)</f>
        <v>39.05</v>
      </c>
      <c r="D2228" s="1">
        <f>IFERROR(__xludf.DUMMYFUNCTION("""COMPUTED_VALUE"""),38.42)</f>
        <v>38.42</v>
      </c>
      <c r="E2228" s="1">
        <f>IFERROR(__xludf.DUMMYFUNCTION("""COMPUTED_VALUE"""),38.87)</f>
        <v>38.87</v>
      </c>
      <c r="F2228" s="1">
        <f>IFERROR(__xludf.DUMMYFUNCTION("""COMPUTED_VALUE"""),327351.0)</f>
        <v>327351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IFERROR(__xludf.DUMMYFUNCTION("""COMPUTED_VALUE"""),38.74)</f>
        <v>38.74</v>
      </c>
      <c r="C2229" s="1">
        <f>IFERROR(__xludf.DUMMYFUNCTION("""COMPUTED_VALUE"""),39.24)</f>
        <v>39.24</v>
      </c>
      <c r="D2229" s="1">
        <f>IFERROR(__xludf.DUMMYFUNCTION("""COMPUTED_VALUE"""),38.56)</f>
        <v>38.56</v>
      </c>
      <c r="E2229" s="1">
        <f>IFERROR(__xludf.DUMMYFUNCTION("""COMPUTED_VALUE"""),38.81)</f>
        <v>38.81</v>
      </c>
      <c r="F2229" s="1">
        <f>IFERROR(__xludf.DUMMYFUNCTION("""COMPUTED_VALUE"""),399164.0)</f>
        <v>399164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IFERROR(__xludf.DUMMYFUNCTION("""COMPUTED_VALUE"""),38.85)</f>
        <v>38.85</v>
      </c>
      <c r="C2230" s="1">
        <f>IFERROR(__xludf.DUMMYFUNCTION("""COMPUTED_VALUE"""),39.09)</f>
        <v>39.09</v>
      </c>
      <c r="D2230" s="1">
        <f>IFERROR(__xludf.DUMMYFUNCTION("""COMPUTED_VALUE"""),38.19)</f>
        <v>38.19</v>
      </c>
      <c r="E2230" s="1">
        <f>IFERROR(__xludf.DUMMYFUNCTION("""COMPUTED_VALUE"""),38.95)</f>
        <v>38.95</v>
      </c>
      <c r="F2230" s="1">
        <f>IFERROR(__xludf.DUMMYFUNCTION("""COMPUTED_VALUE"""),348575.0)</f>
        <v>348575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IFERROR(__xludf.DUMMYFUNCTION("""COMPUTED_VALUE"""),38.79)</f>
        <v>38.79</v>
      </c>
      <c r="C2231" s="1">
        <f>IFERROR(__xludf.DUMMYFUNCTION("""COMPUTED_VALUE"""),39.35)</f>
        <v>39.35</v>
      </c>
      <c r="D2231" s="1">
        <f>IFERROR(__xludf.DUMMYFUNCTION("""COMPUTED_VALUE"""),38.73)</f>
        <v>38.73</v>
      </c>
      <c r="E2231" s="1">
        <f>IFERROR(__xludf.DUMMYFUNCTION("""COMPUTED_VALUE"""),39.06)</f>
        <v>39.06</v>
      </c>
      <c r="F2231" s="1">
        <f>IFERROR(__xludf.DUMMYFUNCTION("""COMPUTED_VALUE"""),301012.0)</f>
        <v>301012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IFERROR(__xludf.DUMMYFUNCTION("""COMPUTED_VALUE"""),38.99)</f>
        <v>38.99</v>
      </c>
      <c r="C2232" s="1">
        <f>IFERROR(__xludf.DUMMYFUNCTION("""COMPUTED_VALUE"""),39.38)</f>
        <v>39.38</v>
      </c>
      <c r="D2232" s="1">
        <f>IFERROR(__xludf.DUMMYFUNCTION("""COMPUTED_VALUE"""),38.4)</f>
        <v>38.4</v>
      </c>
      <c r="E2232" s="1">
        <f>IFERROR(__xludf.DUMMYFUNCTION("""COMPUTED_VALUE"""),38.6)</f>
        <v>38.6</v>
      </c>
      <c r="F2232" s="1">
        <f>IFERROR(__xludf.DUMMYFUNCTION("""COMPUTED_VALUE"""),361530.0)</f>
        <v>361530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IFERROR(__xludf.DUMMYFUNCTION("""COMPUTED_VALUE"""),38.58)</f>
        <v>38.58</v>
      </c>
      <c r="C2233" s="1">
        <f>IFERROR(__xludf.DUMMYFUNCTION("""COMPUTED_VALUE"""),39.12)</f>
        <v>39.12</v>
      </c>
      <c r="D2233" s="1">
        <f>IFERROR(__xludf.DUMMYFUNCTION("""COMPUTED_VALUE"""),38.2)</f>
        <v>38.2</v>
      </c>
      <c r="E2233" s="1">
        <f>IFERROR(__xludf.DUMMYFUNCTION("""COMPUTED_VALUE"""),38.27)</f>
        <v>38.27</v>
      </c>
      <c r="F2233" s="1">
        <f>IFERROR(__xludf.DUMMYFUNCTION("""COMPUTED_VALUE"""),438913.0)</f>
        <v>438913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IFERROR(__xludf.DUMMYFUNCTION("""COMPUTED_VALUE"""),38.27)</f>
        <v>38.27</v>
      </c>
      <c r="C2234" s="1">
        <f>IFERROR(__xludf.DUMMYFUNCTION("""COMPUTED_VALUE"""),39.23)</f>
        <v>39.23</v>
      </c>
      <c r="D2234" s="1">
        <f>IFERROR(__xludf.DUMMYFUNCTION("""COMPUTED_VALUE"""),38.27)</f>
        <v>38.27</v>
      </c>
      <c r="E2234" s="1">
        <f>IFERROR(__xludf.DUMMYFUNCTION("""COMPUTED_VALUE"""),38.69)</f>
        <v>38.69</v>
      </c>
      <c r="F2234" s="1">
        <f>IFERROR(__xludf.DUMMYFUNCTION("""COMPUTED_VALUE"""),254221.0)</f>
        <v>254221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IFERROR(__xludf.DUMMYFUNCTION("""COMPUTED_VALUE"""),39.08)</f>
        <v>39.08</v>
      </c>
      <c r="C2235" s="1">
        <f>IFERROR(__xludf.DUMMYFUNCTION("""COMPUTED_VALUE"""),39.08)</f>
        <v>39.08</v>
      </c>
      <c r="D2235" s="1">
        <f>IFERROR(__xludf.DUMMYFUNCTION("""COMPUTED_VALUE"""),37.37)</f>
        <v>37.37</v>
      </c>
      <c r="E2235" s="1">
        <f>IFERROR(__xludf.DUMMYFUNCTION("""COMPUTED_VALUE"""),37.89)</f>
        <v>37.89</v>
      </c>
      <c r="F2235" s="1">
        <f>IFERROR(__xludf.DUMMYFUNCTION("""COMPUTED_VALUE"""),480276.0)</f>
        <v>480276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IFERROR(__xludf.DUMMYFUNCTION("""COMPUTED_VALUE"""),37.68)</f>
        <v>37.68</v>
      </c>
      <c r="C2236" s="1">
        <f>IFERROR(__xludf.DUMMYFUNCTION("""COMPUTED_VALUE"""),38.98)</f>
        <v>38.98</v>
      </c>
      <c r="D2236" s="1">
        <f>IFERROR(__xludf.DUMMYFUNCTION("""COMPUTED_VALUE"""),37.52)</f>
        <v>37.52</v>
      </c>
      <c r="E2236" s="1">
        <f>IFERROR(__xludf.DUMMYFUNCTION("""COMPUTED_VALUE"""),38.88)</f>
        <v>38.88</v>
      </c>
      <c r="F2236" s="1">
        <f>IFERROR(__xludf.DUMMYFUNCTION("""COMPUTED_VALUE"""),325237.0)</f>
        <v>325237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IFERROR(__xludf.DUMMYFUNCTION("""COMPUTED_VALUE"""),38.64)</f>
        <v>38.64</v>
      </c>
      <c r="C2237" s="1">
        <f>IFERROR(__xludf.DUMMYFUNCTION("""COMPUTED_VALUE"""),39.16)</f>
        <v>39.16</v>
      </c>
      <c r="D2237" s="1">
        <f>IFERROR(__xludf.DUMMYFUNCTION("""COMPUTED_VALUE"""),38.44)</f>
        <v>38.44</v>
      </c>
      <c r="E2237" s="1">
        <f>IFERROR(__xludf.DUMMYFUNCTION("""COMPUTED_VALUE"""),38.95)</f>
        <v>38.95</v>
      </c>
      <c r="F2237" s="1">
        <f>IFERROR(__xludf.DUMMYFUNCTION("""COMPUTED_VALUE"""),372704.0)</f>
        <v>372704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IFERROR(__xludf.DUMMYFUNCTION("""COMPUTED_VALUE"""),38.94)</f>
        <v>38.94</v>
      </c>
      <c r="C2238" s="1">
        <f>IFERROR(__xludf.DUMMYFUNCTION("""COMPUTED_VALUE"""),39.41)</f>
        <v>39.41</v>
      </c>
      <c r="D2238" s="1">
        <f>IFERROR(__xludf.DUMMYFUNCTION("""COMPUTED_VALUE"""),38.61)</f>
        <v>38.61</v>
      </c>
      <c r="E2238" s="1">
        <f>IFERROR(__xludf.DUMMYFUNCTION("""COMPUTED_VALUE"""),39.04)</f>
        <v>39.04</v>
      </c>
      <c r="F2238" s="1">
        <f>IFERROR(__xludf.DUMMYFUNCTION("""COMPUTED_VALUE"""),403480.0)</f>
        <v>403480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IFERROR(__xludf.DUMMYFUNCTION("""COMPUTED_VALUE"""),38.81)</f>
        <v>38.81</v>
      </c>
      <c r="C2239" s="1">
        <f>IFERROR(__xludf.DUMMYFUNCTION("""COMPUTED_VALUE"""),39.14)</f>
        <v>39.14</v>
      </c>
      <c r="D2239" s="1">
        <f>IFERROR(__xludf.DUMMYFUNCTION("""COMPUTED_VALUE"""),38.48)</f>
        <v>38.48</v>
      </c>
      <c r="E2239" s="1">
        <f>IFERROR(__xludf.DUMMYFUNCTION("""COMPUTED_VALUE"""),38.64)</f>
        <v>38.64</v>
      </c>
      <c r="F2239" s="1">
        <f>IFERROR(__xludf.DUMMYFUNCTION("""COMPUTED_VALUE"""),464385.0)</f>
        <v>464385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IFERROR(__xludf.DUMMYFUNCTION("""COMPUTED_VALUE"""),38.7)</f>
        <v>38.7</v>
      </c>
      <c r="C2240" s="1">
        <f>IFERROR(__xludf.DUMMYFUNCTION("""COMPUTED_VALUE"""),39.54)</f>
        <v>39.54</v>
      </c>
      <c r="D2240" s="1">
        <f>IFERROR(__xludf.DUMMYFUNCTION("""COMPUTED_VALUE"""),37.01)</f>
        <v>37.01</v>
      </c>
      <c r="E2240" s="1">
        <f>IFERROR(__xludf.DUMMYFUNCTION("""COMPUTED_VALUE"""),38.55)</f>
        <v>38.55</v>
      </c>
      <c r="F2240" s="1">
        <f>IFERROR(__xludf.DUMMYFUNCTION("""COMPUTED_VALUE"""),411011.0)</f>
        <v>411011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IFERROR(__xludf.DUMMYFUNCTION("""COMPUTED_VALUE"""),38.27)</f>
        <v>38.27</v>
      </c>
      <c r="C2241" s="1">
        <f>IFERROR(__xludf.DUMMYFUNCTION("""COMPUTED_VALUE"""),38.63)</f>
        <v>38.63</v>
      </c>
      <c r="D2241" s="1">
        <f>IFERROR(__xludf.DUMMYFUNCTION("""COMPUTED_VALUE"""),38.05)</f>
        <v>38.05</v>
      </c>
      <c r="E2241" s="1">
        <f>IFERROR(__xludf.DUMMYFUNCTION("""COMPUTED_VALUE"""),38.21)</f>
        <v>38.21</v>
      </c>
      <c r="F2241" s="1">
        <f>IFERROR(__xludf.DUMMYFUNCTION("""COMPUTED_VALUE"""),282421.0)</f>
        <v>282421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IFERROR(__xludf.DUMMYFUNCTION("""COMPUTED_VALUE"""),38.61)</f>
        <v>38.61</v>
      </c>
      <c r="C2242" s="1">
        <f>IFERROR(__xludf.DUMMYFUNCTION("""COMPUTED_VALUE"""),39.34)</f>
        <v>39.34</v>
      </c>
      <c r="D2242" s="1">
        <f>IFERROR(__xludf.DUMMYFUNCTION("""COMPUTED_VALUE"""),38.49)</f>
        <v>38.49</v>
      </c>
      <c r="E2242" s="1">
        <f>IFERROR(__xludf.DUMMYFUNCTION("""COMPUTED_VALUE"""),38.89)</f>
        <v>38.89</v>
      </c>
      <c r="F2242" s="1">
        <f>IFERROR(__xludf.DUMMYFUNCTION("""COMPUTED_VALUE"""),393445.0)</f>
        <v>393445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IFERROR(__xludf.DUMMYFUNCTION("""COMPUTED_VALUE"""),38.76)</f>
        <v>38.76</v>
      </c>
      <c r="C2243" s="1">
        <f>IFERROR(__xludf.DUMMYFUNCTION("""COMPUTED_VALUE"""),39.02)</f>
        <v>39.02</v>
      </c>
      <c r="D2243" s="1">
        <f>IFERROR(__xludf.DUMMYFUNCTION("""COMPUTED_VALUE"""),38.54)</f>
        <v>38.54</v>
      </c>
      <c r="E2243" s="1">
        <f>IFERROR(__xludf.DUMMYFUNCTION("""COMPUTED_VALUE"""),38.73)</f>
        <v>38.73</v>
      </c>
      <c r="F2243" s="1">
        <f>IFERROR(__xludf.DUMMYFUNCTION("""COMPUTED_VALUE"""),367784.0)</f>
        <v>367784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IFERROR(__xludf.DUMMYFUNCTION("""COMPUTED_VALUE"""),38.87)</f>
        <v>38.87</v>
      </c>
      <c r="C2244" s="1">
        <f>IFERROR(__xludf.DUMMYFUNCTION("""COMPUTED_VALUE"""),39.13)</f>
        <v>39.13</v>
      </c>
      <c r="D2244" s="1">
        <f>IFERROR(__xludf.DUMMYFUNCTION("""COMPUTED_VALUE"""),38.05)</f>
        <v>38.05</v>
      </c>
      <c r="E2244" s="1">
        <f>IFERROR(__xludf.DUMMYFUNCTION("""COMPUTED_VALUE"""),38.94)</f>
        <v>38.94</v>
      </c>
      <c r="F2244" s="1">
        <f>IFERROR(__xludf.DUMMYFUNCTION("""COMPUTED_VALUE"""),408924.0)</f>
        <v>408924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IFERROR(__xludf.DUMMYFUNCTION("""COMPUTED_VALUE"""),38.57)</f>
        <v>38.57</v>
      </c>
      <c r="C2245" s="1">
        <f>IFERROR(__xludf.DUMMYFUNCTION("""COMPUTED_VALUE"""),39.03)</f>
        <v>39.03</v>
      </c>
      <c r="D2245" s="1">
        <f>IFERROR(__xludf.DUMMYFUNCTION("""COMPUTED_VALUE"""),38.28)</f>
        <v>38.28</v>
      </c>
      <c r="E2245" s="1">
        <f>IFERROR(__xludf.DUMMYFUNCTION("""COMPUTED_VALUE"""),38.79)</f>
        <v>38.79</v>
      </c>
      <c r="F2245" s="1">
        <f>IFERROR(__xludf.DUMMYFUNCTION("""COMPUTED_VALUE"""),359209.0)</f>
        <v>359209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IFERROR(__xludf.DUMMYFUNCTION("""COMPUTED_VALUE"""),38.47)</f>
        <v>38.47</v>
      </c>
      <c r="C2246" s="1">
        <f>IFERROR(__xludf.DUMMYFUNCTION("""COMPUTED_VALUE"""),39.64)</f>
        <v>39.64</v>
      </c>
      <c r="D2246" s="1">
        <f>IFERROR(__xludf.DUMMYFUNCTION("""COMPUTED_VALUE"""),38.32)</f>
        <v>38.32</v>
      </c>
      <c r="E2246" s="1">
        <f>IFERROR(__xludf.DUMMYFUNCTION("""COMPUTED_VALUE"""),39.57)</f>
        <v>39.57</v>
      </c>
      <c r="F2246" s="1">
        <f>IFERROR(__xludf.DUMMYFUNCTION("""COMPUTED_VALUE"""),536926.0)</f>
        <v>536926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IFERROR(__xludf.DUMMYFUNCTION("""COMPUTED_VALUE"""),40.11)</f>
        <v>40.11</v>
      </c>
      <c r="C2247" s="1">
        <f>IFERROR(__xludf.DUMMYFUNCTION("""COMPUTED_VALUE"""),40.11)</f>
        <v>40.11</v>
      </c>
      <c r="D2247" s="1">
        <f>IFERROR(__xludf.DUMMYFUNCTION("""COMPUTED_VALUE"""),38.91)</f>
        <v>38.91</v>
      </c>
      <c r="E2247" s="1">
        <f>IFERROR(__xludf.DUMMYFUNCTION("""COMPUTED_VALUE"""),39.16)</f>
        <v>39.16</v>
      </c>
      <c r="F2247" s="1">
        <f>IFERROR(__xludf.DUMMYFUNCTION("""COMPUTED_VALUE"""),581520.0)</f>
        <v>581520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IFERROR(__xludf.DUMMYFUNCTION("""COMPUTED_VALUE"""),39.05)</f>
        <v>39.05</v>
      </c>
      <c r="C2248" s="1">
        <f>IFERROR(__xludf.DUMMYFUNCTION("""COMPUTED_VALUE"""),39.09)</f>
        <v>39.09</v>
      </c>
      <c r="D2248" s="1">
        <f>IFERROR(__xludf.DUMMYFUNCTION("""COMPUTED_VALUE"""),36.79)</f>
        <v>36.79</v>
      </c>
      <c r="E2248" s="1">
        <f>IFERROR(__xludf.DUMMYFUNCTION("""COMPUTED_VALUE"""),37.45)</f>
        <v>37.45</v>
      </c>
      <c r="F2248" s="1">
        <f>IFERROR(__xludf.DUMMYFUNCTION("""COMPUTED_VALUE"""),983752.0)</f>
        <v>983752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IFERROR(__xludf.DUMMYFUNCTION("""COMPUTED_VALUE"""),36.7)</f>
        <v>36.7</v>
      </c>
      <c r="C2249" s="1">
        <f>IFERROR(__xludf.DUMMYFUNCTION("""COMPUTED_VALUE"""),37.58)</f>
        <v>37.58</v>
      </c>
      <c r="D2249" s="1">
        <f>IFERROR(__xludf.DUMMYFUNCTION("""COMPUTED_VALUE"""),36.6)</f>
        <v>36.6</v>
      </c>
      <c r="E2249" s="1">
        <f>IFERROR(__xludf.DUMMYFUNCTION("""COMPUTED_VALUE"""),37.57)</f>
        <v>37.57</v>
      </c>
      <c r="F2249" s="1">
        <f>IFERROR(__xludf.DUMMYFUNCTION("""COMPUTED_VALUE"""),594528.0)</f>
        <v>594528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IFERROR(__xludf.DUMMYFUNCTION("""COMPUTED_VALUE"""),37.58)</f>
        <v>37.58</v>
      </c>
      <c r="C2250" s="1">
        <f>IFERROR(__xludf.DUMMYFUNCTION("""COMPUTED_VALUE"""),38.08)</f>
        <v>38.08</v>
      </c>
      <c r="D2250" s="1">
        <f>IFERROR(__xludf.DUMMYFUNCTION("""COMPUTED_VALUE"""),36.98)</f>
        <v>36.98</v>
      </c>
      <c r="E2250" s="1">
        <f>IFERROR(__xludf.DUMMYFUNCTION("""COMPUTED_VALUE"""),37.27)</f>
        <v>37.27</v>
      </c>
      <c r="F2250" s="1">
        <f>IFERROR(__xludf.DUMMYFUNCTION("""COMPUTED_VALUE"""),551283.0)</f>
        <v>551283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IFERROR(__xludf.DUMMYFUNCTION("""COMPUTED_VALUE"""),37.53)</f>
        <v>37.53</v>
      </c>
      <c r="C2251" s="1">
        <f>IFERROR(__xludf.DUMMYFUNCTION("""COMPUTED_VALUE"""),37.56)</f>
        <v>37.56</v>
      </c>
      <c r="D2251" s="1">
        <f>IFERROR(__xludf.DUMMYFUNCTION("""COMPUTED_VALUE"""),36.26)</f>
        <v>36.26</v>
      </c>
      <c r="E2251" s="1">
        <f>IFERROR(__xludf.DUMMYFUNCTION("""COMPUTED_VALUE"""),36.56)</f>
        <v>36.56</v>
      </c>
      <c r="F2251" s="1">
        <f>IFERROR(__xludf.DUMMYFUNCTION("""COMPUTED_VALUE"""),470700.0)</f>
        <v>470700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IFERROR(__xludf.DUMMYFUNCTION("""COMPUTED_VALUE"""),36.95)</f>
        <v>36.95</v>
      </c>
      <c r="C2252" s="1">
        <f>IFERROR(__xludf.DUMMYFUNCTION("""COMPUTED_VALUE"""),37.07)</f>
        <v>37.07</v>
      </c>
      <c r="D2252" s="1">
        <f>IFERROR(__xludf.DUMMYFUNCTION("""COMPUTED_VALUE"""),35.99)</f>
        <v>35.99</v>
      </c>
      <c r="E2252" s="1">
        <f>IFERROR(__xludf.DUMMYFUNCTION("""COMPUTED_VALUE"""),36.15)</f>
        <v>36.15</v>
      </c>
      <c r="F2252" s="1">
        <f>IFERROR(__xludf.DUMMYFUNCTION("""COMPUTED_VALUE"""),374549.0)</f>
        <v>374549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IFERROR(__xludf.DUMMYFUNCTION("""COMPUTED_VALUE"""),36.57)</f>
        <v>36.57</v>
      </c>
      <c r="C2253" s="1">
        <f>IFERROR(__xludf.DUMMYFUNCTION("""COMPUTED_VALUE"""),37.16)</f>
        <v>37.16</v>
      </c>
      <c r="D2253" s="1">
        <f>IFERROR(__xludf.DUMMYFUNCTION("""COMPUTED_VALUE"""),36.18)</f>
        <v>36.18</v>
      </c>
      <c r="E2253" s="1">
        <f>IFERROR(__xludf.DUMMYFUNCTION("""COMPUTED_VALUE"""),36.82)</f>
        <v>36.82</v>
      </c>
      <c r="F2253" s="1">
        <f>IFERROR(__xludf.DUMMYFUNCTION("""COMPUTED_VALUE"""),330635.0)</f>
        <v>330635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IFERROR(__xludf.DUMMYFUNCTION("""COMPUTED_VALUE"""),36.75)</f>
        <v>36.75</v>
      </c>
      <c r="C2254" s="1">
        <f>IFERROR(__xludf.DUMMYFUNCTION("""COMPUTED_VALUE"""),37.05)</f>
        <v>37.05</v>
      </c>
      <c r="D2254" s="1">
        <f>IFERROR(__xludf.DUMMYFUNCTION("""COMPUTED_VALUE"""),35.86)</f>
        <v>35.86</v>
      </c>
      <c r="E2254" s="1">
        <f>IFERROR(__xludf.DUMMYFUNCTION("""COMPUTED_VALUE"""),35.89)</f>
        <v>35.89</v>
      </c>
      <c r="F2254" s="1">
        <f>IFERROR(__xludf.DUMMYFUNCTION("""COMPUTED_VALUE"""),326500.0)</f>
        <v>326500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IFERROR(__xludf.DUMMYFUNCTION("""COMPUTED_VALUE"""),35.59)</f>
        <v>35.59</v>
      </c>
      <c r="C2255" s="1">
        <f>IFERROR(__xludf.DUMMYFUNCTION("""COMPUTED_VALUE"""),36.19)</f>
        <v>36.19</v>
      </c>
      <c r="D2255" s="1">
        <f>IFERROR(__xludf.DUMMYFUNCTION("""COMPUTED_VALUE"""),35.06)</f>
        <v>35.06</v>
      </c>
      <c r="E2255" s="1">
        <f>IFERROR(__xludf.DUMMYFUNCTION("""COMPUTED_VALUE"""),35.08)</f>
        <v>35.08</v>
      </c>
      <c r="F2255" s="1">
        <f>IFERROR(__xludf.DUMMYFUNCTION("""COMPUTED_VALUE"""),320691.0)</f>
        <v>320691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IFERROR(__xludf.DUMMYFUNCTION("""COMPUTED_VALUE"""),35.0)</f>
        <v>35</v>
      </c>
      <c r="C2256" s="1">
        <f>IFERROR(__xludf.DUMMYFUNCTION("""COMPUTED_VALUE"""),35.41)</f>
        <v>35.41</v>
      </c>
      <c r="D2256" s="1">
        <f>IFERROR(__xludf.DUMMYFUNCTION("""COMPUTED_VALUE"""),34.21)</f>
        <v>34.21</v>
      </c>
      <c r="E2256" s="1">
        <f>IFERROR(__xludf.DUMMYFUNCTION("""COMPUTED_VALUE"""),34.36)</f>
        <v>34.36</v>
      </c>
      <c r="F2256" s="1">
        <f>IFERROR(__xludf.DUMMYFUNCTION("""COMPUTED_VALUE"""),745643.0)</f>
        <v>745643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IFERROR(__xludf.DUMMYFUNCTION("""COMPUTED_VALUE"""),34.62)</f>
        <v>34.62</v>
      </c>
      <c r="C2257" s="1">
        <f>IFERROR(__xludf.DUMMYFUNCTION("""COMPUTED_VALUE"""),34.98)</f>
        <v>34.98</v>
      </c>
      <c r="D2257" s="1">
        <f>IFERROR(__xludf.DUMMYFUNCTION("""COMPUTED_VALUE"""),33.75)</f>
        <v>33.75</v>
      </c>
      <c r="E2257" s="1">
        <f>IFERROR(__xludf.DUMMYFUNCTION("""COMPUTED_VALUE"""),33.84)</f>
        <v>33.84</v>
      </c>
      <c r="F2257" s="1">
        <f>IFERROR(__xludf.DUMMYFUNCTION("""COMPUTED_VALUE"""),518739.0)</f>
        <v>518739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IFERROR(__xludf.DUMMYFUNCTION("""COMPUTED_VALUE"""),33.83)</f>
        <v>33.83</v>
      </c>
      <c r="C2258" s="1">
        <f>IFERROR(__xludf.DUMMYFUNCTION("""COMPUTED_VALUE"""),34.2)</f>
        <v>34.2</v>
      </c>
      <c r="D2258" s="1">
        <f>IFERROR(__xludf.DUMMYFUNCTION("""COMPUTED_VALUE"""),32.61)</f>
        <v>32.61</v>
      </c>
      <c r="E2258" s="1">
        <f>IFERROR(__xludf.DUMMYFUNCTION("""COMPUTED_VALUE"""),32.76)</f>
        <v>32.76</v>
      </c>
      <c r="F2258" s="1">
        <f>IFERROR(__xludf.DUMMYFUNCTION("""COMPUTED_VALUE"""),610241.0)</f>
        <v>610241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IFERROR(__xludf.DUMMYFUNCTION("""COMPUTED_VALUE"""),32.52)</f>
        <v>32.52</v>
      </c>
      <c r="C2259" s="1">
        <f>IFERROR(__xludf.DUMMYFUNCTION("""COMPUTED_VALUE"""),33.08)</f>
        <v>33.08</v>
      </c>
      <c r="D2259" s="1">
        <f>IFERROR(__xludf.DUMMYFUNCTION("""COMPUTED_VALUE"""),32.2)</f>
        <v>32.2</v>
      </c>
      <c r="E2259" s="1">
        <f>IFERROR(__xludf.DUMMYFUNCTION("""COMPUTED_VALUE"""),32.57)</f>
        <v>32.57</v>
      </c>
      <c r="F2259" s="1">
        <f>IFERROR(__xludf.DUMMYFUNCTION("""COMPUTED_VALUE"""),393830.0)</f>
        <v>393830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IFERROR(__xludf.DUMMYFUNCTION("""COMPUTED_VALUE"""),32.49)</f>
        <v>32.49</v>
      </c>
      <c r="C2260" s="1">
        <f>IFERROR(__xludf.DUMMYFUNCTION("""COMPUTED_VALUE"""),33.17)</f>
        <v>33.17</v>
      </c>
      <c r="D2260" s="1">
        <f>IFERROR(__xludf.DUMMYFUNCTION("""COMPUTED_VALUE"""),32.27)</f>
        <v>32.27</v>
      </c>
      <c r="E2260" s="1">
        <f>IFERROR(__xludf.DUMMYFUNCTION("""COMPUTED_VALUE"""),32.6)</f>
        <v>32.6</v>
      </c>
      <c r="F2260" s="1">
        <f>IFERROR(__xludf.DUMMYFUNCTION("""COMPUTED_VALUE"""),1719867.0)</f>
        <v>1719867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IFERROR(__xludf.DUMMYFUNCTION("""COMPUTED_VALUE"""),32.31)</f>
        <v>32.31</v>
      </c>
      <c r="C2261" s="1">
        <f>IFERROR(__xludf.DUMMYFUNCTION("""COMPUTED_VALUE"""),32.7)</f>
        <v>32.7</v>
      </c>
      <c r="D2261" s="1">
        <f>IFERROR(__xludf.DUMMYFUNCTION("""COMPUTED_VALUE"""),32.09)</f>
        <v>32.09</v>
      </c>
      <c r="E2261" s="1">
        <f>IFERROR(__xludf.DUMMYFUNCTION("""COMPUTED_VALUE"""),32.11)</f>
        <v>32.11</v>
      </c>
      <c r="F2261" s="1">
        <f>IFERROR(__xludf.DUMMYFUNCTION("""COMPUTED_VALUE"""),390242.0)</f>
        <v>390242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IFERROR(__xludf.DUMMYFUNCTION("""COMPUTED_VALUE"""),32.16)</f>
        <v>32.16</v>
      </c>
      <c r="C2262" s="1">
        <f>IFERROR(__xludf.DUMMYFUNCTION("""COMPUTED_VALUE"""),33.6)</f>
        <v>33.6</v>
      </c>
      <c r="D2262" s="1">
        <f>IFERROR(__xludf.DUMMYFUNCTION("""COMPUTED_VALUE"""),31.94)</f>
        <v>31.94</v>
      </c>
      <c r="E2262" s="1">
        <f>IFERROR(__xludf.DUMMYFUNCTION("""COMPUTED_VALUE"""),33.57)</f>
        <v>33.57</v>
      </c>
      <c r="F2262" s="1">
        <f>IFERROR(__xludf.DUMMYFUNCTION("""COMPUTED_VALUE"""),662256.0)</f>
        <v>662256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IFERROR(__xludf.DUMMYFUNCTION("""COMPUTED_VALUE"""),32.82)</f>
        <v>32.82</v>
      </c>
      <c r="C2263" s="1">
        <f>IFERROR(__xludf.DUMMYFUNCTION("""COMPUTED_VALUE"""),33.31)</f>
        <v>33.31</v>
      </c>
      <c r="D2263" s="1">
        <f>IFERROR(__xludf.DUMMYFUNCTION("""COMPUTED_VALUE"""),32.08)</f>
        <v>32.08</v>
      </c>
      <c r="E2263" s="1">
        <f>IFERROR(__xludf.DUMMYFUNCTION("""COMPUTED_VALUE"""),33.22)</f>
        <v>33.22</v>
      </c>
      <c r="F2263" s="1">
        <f>IFERROR(__xludf.DUMMYFUNCTION("""COMPUTED_VALUE"""),517919.0)</f>
        <v>517919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IFERROR(__xludf.DUMMYFUNCTION("""COMPUTED_VALUE"""),33.25)</f>
        <v>33.25</v>
      </c>
      <c r="C2264" s="1">
        <f>IFERROR(__xludf.DUMMYFUNCTION("""COMPUTED_VALUE"""),33.96)</f>
        <v>33.96</v>
      </c>
      <c r="D2264" s="1">
        <f>IFERROR(__xludf.DUMMYFUNCTION("""COMPUTED_VALUE"""),33.16)</f>
        <v>33.16</v>
      </c>
      <c r="E2264" s="1">
        <f>IFERROR(__xludf.DUMMYFUNCTION("""COMPUTED_VALUE"""),33.44)</f>
        <v>33.44</v>
      </c>
      <c r="F2264" s="1">
        <f>IFERROR(__xludf.DUMMYFUNCTION("""COMPUTED_VALUE"""),330743.0)</f>
        <v>330743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IFERROR(__xludf.DUMMYFUNCTION("""COMPUTED_VALUE"""),33.55)</f>
        <v>33.55</v>
      </c>
      <c r="C2265" s="1">
        <f>IFERROR(__xludf.DUMMYFUNCTION("""COMPUTED_VALUE"""),33.84)</f>
        <v>33.84</v>
      </c>
      <c r="D2265" s="1">
        <f>IFERROR(__xludf.DUMMYFUNCTION("""COMPUTED_VALUE"""),32.93)</f>
        <v>32.93</v>
      </c>
      <c r="E2265" s="1">
        <f>IFERROR(__xludf.DUMMYFUNCTION("""COMPUTED_VALUE"""),33.53)</f>
        <v>33.53</v>
      </c>
      <c r="F2265" s="1">
        <f>IFERROR(__xludf.DUMMYFUNCTION("""COMPUTED_VALUE"""),439292.0)</f>
        <v>439292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IFERROR(__xludf.DUMMYFUNCTION("""COMPUTED_VALUE"""),33.07)</f>
        <v>33.07</v>
      </c>
      <c r="C2266" s="1">
        <f>IFERROR(__xludf.DUMMYFUNCTION("""COMPUTED_VALUE"""),34.23)</f>
        <v>34.23</v>
      </c>
      <c r="D2266" s="1">
        <f>IFERROR(__xludf.DUMMYFUNCTION("""COMPUTED_VALUE"""),33.07)</f>
        <v>33.07</v>
      </c>
      <c r="E2266" s="1">
        <f>IFERROR(__xludf.DUMMYFUNCTION("""COMPUTED_VALUE"""),33.92)</f>
        <v>33.92</v>
      </c>
      <c r="F2266" s="1">
        <f>IFERROR(__xludf.DUMMYFUNCTION("""COMPUTED_VALUE"""),365693.0)</f>
        <v>365693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IFERROR(__xludf.DUMMYFUNCTION("""COMPUTED_VALUE"""),33.79)</f>
        <v>33.79</v>
      </c>
      <c r="C2267" s="1">
        <f>IFERROR(__xludf.DUMMYFUNCTION("""COMPUTED_VALUE"""),34.5)</f>
        <v>34.5</v>
      </c>
      <c r="D2267" s="1">
        <f>IFERROR(__xludf.DUMMYFUNCTION("""COMPUTED_VALUE"""),33.48)</f>
        <v>33.48</v>
      </c>
      <c r="E2267" s="1">
        <f>IFERROR(__xludf.DUMMYFUNCTION("""COMPUTED_VALUE"""),33.9)</f>
        <v>33.9</v>
      </c>
      <c r="F2267" s="1">
        <f>IFERROR(__xludf.DUMMYFUNCTION("""COMPUTED_VALUE"""),402999.0)</f>
        <v>402999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IFERROR(__xludf.DUMMYFUNCTION("""COMPUTED_VALUE"""),34.43)</f>
        <v>34.43</v>
      </c>
      <c r="C2268" s="1">
        <f>IFERROR(__xludf.DUMMYFUNCTION("""COMPUTED_VALUE"""),34.85)</f>
        <v>34.85</v>
      </c>
      <c r="D2268" s="1">
        <f>IFERROR(__xludf.DUMMYFUNCTION("""COMPUTED_VALUE"""),34.08)</f>
        <v>34.08</v>
      </c>
      <c r="E2268" s="1">
        <f>IFERROR(__xludf.DUMMYFUNCTION("""COMPUTED_VALUE"""),34.72)</f>
        <v>34.72</v>
      </c>
      <c r="F2268" s="1">
        <f>IFERROR(__xludf.DUMMYFUNCTION("""COMPUTED_VALUE"""),538740.0)</f>
        <v>538740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IFERROR(__xludf.DUMMYFUNCTION("""COMPUTED_VALUE"""),34.72)</f>
        <v>34.72</v>
      </c>
      <c r="C2269" s="1">
        <f>IFERROR(__xludf.DUMMYFUNCTION("""COMPUTED_VALUE"""),35.03)</f>
        <v>35.03</v>
      </c>
      <c r="D2269" s="1">
        <f>IFERROR(__xludf.DUMMYFUNCTION("""COMPUTED_VALUE"""),34.39)</f>
        <v>34.39</v>
      </c>
      <c r="E2269" s="1">
        <f>IFERROR(__xludf.DUMMYFUNCTION("""COMPUTED_VALUE"""),34.81)</f>
        <v>34.81</v>
      </c>
      <c r="F2269" s="1">
        <f>IFERROR(__xludf.DUMMYFUNCTION("""COMPUTED_VALUE"""),590705.0)</f>
        <v>590705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IFERROR(__xludf.DUMMYFUNCTION("""COMPUTED_VALUE"""),34.99)</f>
        <v>34.99</v>
      </c>
      <c r="C2270" s="1">
        <f>IFERROR(__xludf.DUMMYFUNCTION("""COMPUTED_VALUE"""),35.29)</f>
        <v>35.29</v>
      </c>
      <c r="D2270" s="1">
        <f>IFERROR(__xludf.DUMMYFUNCTION("""COMPUTED_VALUE"""),34.49)</f>
        <v>34.49</v>
      </c>
      <c r="E2270" s="1">
        <f>IFERROR(__xludf.DUMMYFUNCTION("""COMPUTED_VALUE"""),35.28)</f>
        <v>35.28</v>
      </c>
      <c r="F2270" s="1">
        <f>IFERROR(__xludf.DUMMYFUNCTION("""COMPUTED_VALUE"""),257201.0)</f>
        <v>257201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IFERROR(__xludf.DUMMYFUNCTION("""COMPUTED_VALUE"""),35.28)</f>
        <v>35.28</v>
      </c>
      <c r="C2271" s="1">
        <f>IFERROR(__xludf.DUMMYFUNCTION("""COMPUTED_VALUE"""),35.56)</f>
        <v>35.56</v>
      </c>
      <c r="D2271" s="1">
        <f>IFERROR(__xludf.DUMMYFUNCTION("""COMPUTED_VALUE"""),35.03)</f>
        <v>35.03</v>
      </c>
      <c r="E2271" s="1">
        <f>IFERROR(__xludf.DUMMYFUNCTION("""COMPUTED_VALUE"""),35.37)</f>
        <v>35.37</v>
      </c>
      <c r="F2271" s="1">
        <f>IFERROR(__xludf.DUMMYFUNCTION("""COMPUTED_VALUE"""),356903.0)</f>
        <v>356903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IFERROR(__xludf.DUMMYFUNCTION("""COMPUTED_VALUE"""),35.27)</f>
        <v>35.27</v>
      </c>
      <c r="C2272" s="1">
        <f>IFERROR(__xludf.DUMMYFUNCTION("""COMPUTED_VALUE"""),35.63)</f>
        <v>35.63</v>
      </c>
      <c r="D2272" s="1">
        <f>IFERROR(__xludf.DUMMYFUNCTION("""COMPUTED_VALUE"""),35.01)</f>
        <v>35.01</v>
      </c>
      <c r="E2272" s="1">
        <f>IFERROR(__xludf.DUMMYFUNCTION("""COMPUTED_VALUE"""),35.54)</f>
        <v>35.54</v>
      </c>
      <c r="F2272" s="1">
        <f>IFERROR(__xludf.DUMMYFUNCTION("""COMPUTED_VALUE"""),373372.0)</f>
        <v>373372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IFERROR(__xludf.DUMMYFUNCTION("""COMPUTED_VALUE"""),35.3)</f>
        <v>35.3</v>
      </c>
      <c r="C2273" s="1">
        <f>IFERROR(__xludf.DUMMYFUNCTION("""COMPUTED_VALUE"""),35.75)</f>
        <v>35.75</v>
      </c>
      <c r="D2273" s="1">
        <f>IFERROR(__xludf.DUMMYFUNCTION("""COMPUTED_VALUE"""),35.21)</f>
        <v>35.21</v>
      </c>
      <c r="E2273" s="1">
        <f>IFERROR(__xludf.DUMMYFUNCTION("""COMPUTED_VALUE"""),35.62)</f>
        <v>35.62</v>
      </c>
      <c r="F2273" s="1">
        <f>IFERROR(__xludf.DUMMYFUNCTION("""COMPUTED_VALUE"""),234386.0)</f>
        <v>234386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IFERROR(__xludf.DUMMYFUNCTION("""COMPUTED_VALUE"""),35.36)</f>
        <v>35.36</v>
      </c>
      <c r="C2274" s="1">
        <f>IFERROR(__xludf.DUMMYFUNCTION("""COMPUTED_VALUE"""),35.85)</f>
        <v>35.85</v>
      </c>
      <c r="D2274" s="1">
        <f>IFERROR(__xludf.DUMMYFUNCTION("""COMPUTED_VALUE"""),35.28)</f>
        <v>35.28</v>
      </c>
      <c r="E2274" s="1">
        <f>IFERROR(__xludf.DUMMYFUNCTION("""COMPUTED_VALUE"""),35.38)</f>
        <v>35.38</v>
      </c>
      <c r="F2274" s="1">
        <f>IFERROR(__xludf.DUMMYFUNCTION("""COMPUTED_VALUE"""),346248.0)</f>
        <v>346248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IFERROR(__xludf.DUMMYFUNCTION("""COMPUTED_VALUE"""),35.23)</f>
        <v>35.23</v>
      </c>
      <c r="C2275" s="1">
        <f>IFERROR(__xludf.DUMMYFUNCTION("""COMPUTED_VALUE"""),35.73)</f>
        <v>35.73</v>
      </c>
      <c r="D2275" s="1">
        <f>IFERROR(__xludf.DUMMYFUNCTION("""COMPUTED_VALUE"""),34.96)</f>
        <v>34.96</v>
      </c>
      <c r="E2275" s="1">
        <f>IFERROR(__xludf.DUMMYFUNCTION("""COMPUTED_VALUE"""),35.69)</f>
        <v>35.69</v>
      </c>
      <c r="F2275" s="1">
        <f>IFERROR(__xludf.DUMMYFUNCTION("""COMPUTED_VALUE"""),463615.0)</f>
        <v>463615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IFERROR(__xludf.DUMMYFUNCTION("""COMPUTED_VALUE"""),35.94)</f>
        <v>35.94</v>
      </c>
      <c r="C2276" s="1">
        <f>IFERROR(__xludf.DUMMYFUNCTION("""COMPUTED_VALUE"""),36.88)</f>
        <v>36.88</v>
      </c>
      <c r="D2276" s="1">
        <f>IFERROR(__xludf.DUMMYFUNCTION("""COMPUTED_VALUE"""),35.38)</f>
        <v>35.38</v>
      </c>
      <c r="E2276" s="1">
        <f>IFERROR(__xludf.DUMMYFUNCTION("""COMPUTED_VALUE"""),36.86)</f>
        <v>36.86</v>
      </c>
      <c r="F2276" s="1">
        <f>IFERROR(__xludf.DUMMYFUNCTION("""COMPUTED_VALUE"""),392240.0)</f>
        <v>392240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IFERROR(__xludf.DUMMYFUNCTION("""COMPUTED_VALUE"""),36.68)</f>
        <v>36.68</v>
      </c>
      <c r="C2277" s="1">
        <f>IFERROR(__xludf.DUMMYFUNCTION("""COMPUTED_VALUE"""),37.27)</f>
        <v>37.27</v>
      </c>
      <c r="D2277" s="1">
        <f>IFERROR(__xludf.DUMMYFUNCTION("""COMPUTED_VALUE"""),36.41)</f>
        <v>36.41</v>
      </c>
      <c r="E2277" s="1">
        <f>IFERROR(__xludf.DUMMYFUNCTION("""COMPUTED_VALUE"""),37.13)</f>
        <v>37.13</v>
      </c>
      <c r="F2277" s="1">
        <f>IFERROR(__xludf.DUMMYFUNCTION("""COMPUTED_VALUE"""),351090.0)</f>
        <v>351090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IFERROR(__xludf.DUMMYFUNCTION("""COMPUTED_VALUE"""),37.14)</f>
        <v>37.14</v>
      </c>
      <c r="C2278" s="1">
        <f>IFERROR(__xludf.DUMMYFUNCTION("""COMPUTED_VALUE"""),37.83)</f>
        <v>37.83</v>
      </c>
      <c r="D2278" s="1">
        <f>IFERROR(__xludf.DUMMYFUNCTION("""COMPUTED_VALUE"""),36.76)</f>
        <v>36.76</v>
      </c>
      <c r="E2278" s="1">
        <f>IFERROR(__xludf.DUMMYFUNCTION("""COMPUTED_VALUE"""),37.67)</f>
        <v>37.67</v>
      </c>
      <c r="F2278" s="1">
        <f>IFERROR(__xludf.DUMMYFUNCTION("""COMPUTED_VALUE"""),235174.0)</f>
        <v>235174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IFERROR(__xludf.DUMMYFUNCTION("""COMPUTED_VALUE"""),37.42)</f>
        <v>37.42</v>
      </c>
      <c r="C2279" s="1">
        <f>IFERROR(__xludf.DUMMYFUNCTION("""COMPUTED_VALUE"""),37.77)</f>
        <v>37.77</v>
      </c>
      <c r="D2279" s="1">
        <f>IFERROR(__xludf.DUMMYFUNCTION("""COMPUTED_VALUE"""),36.62)</f>
        <v>36.62</v>
      </c>
      <c r="E2279" s="1">
        <f>IFERROR(__xludf.DUMMYFUNCTION("""COMPUTED_VALUE"""),37.16)</f>
        <v>37.16</v>
      </c>
      <c r="F2279" s="1">
        <f>IFERROR(__xludf.DUMMYFUNCTION("""COMPUTED_VALUE"""),878792.0)</f>
        <v>878792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IFERROR(__xludf.DUMMYFUNCTION("""COMPUTED_VALUE"""),37.21)</f>
        <v>37.21</v>
      </c>
      <c r="C2280" s="1">
        <f>IFERROR(__xludf.DUMMYFUNCTION("""COMPUTED_VALUE"""),37.44)</f>
        <v>37.44</v>
      </c>
      <c r="D2280" s="1">
        <f>IFERROR(__xludf.DUMMYFUNCTION("""COMPUTED_VALUE"""),36.77)</f>
        <v>36.77</v>
      </c>
      <c r="E2280" s="1">
        <f>IFERROR(__xludf.DUMMYFUNCTION("""COMPUTED_VALUE"""),37.31)</f>
        <v>37.31</v>
      </c>
      <c r="F2280" s="1">
        <f>IFERROR(__xludf.DUMMYFUNCTION("""COMPUTED_VALUE"""),608308.0)</f>
        <v>608308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IFERROR(__xludf.DUMMYFUNCTION("""COMPUTED_VALUE"""),36.99)</f>
        <v>36.99</v>
      </c>
      <c r="C2281" s="1">
        <f>IFERROR(__xludf.DUMMYFUNCTION("""COMPUTED_VALUE"""),37.33)</f>
        <v>37.33</v>
      </c>
      <c r="D2281" s="1">
        <f>IFERROR(__xludf.DUMMYFUNCTION("""COMPUTED_VALUE"""),36.51)</f>
        <v>36.51</v>
      </c>
      <c r="E2281" s="1">
        <f>IFERROR(__xludf.DUMMYFUNCTION("""COMPUTED_VALUE"""),37.17)</f>
        <v>37.17</v>
      </c>
      <c r="F2281" s="1">
        <f>IFERROR(__xludf.DUMMYFUNCTION("""COMPUTED_VALUE"""),795965.0)</f>
        <v>795965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IFERROR(__xludf.DUMMYFUNCTION("""COMPUTED_VALUE"""),37.2)</f>
        <v>37.2</v>
      </c>
      <c r="C2282" s="1">
        <f>IFERROR(__xludf.DUMMYFUNCTION("""COMPUTED_VALUE"""),37.79)</f>
        <v>37.79</v>
      </c>
      <c r="D2282" s="1">
        <f>IFERROR(__xludf.DUMMYFUNCTION("""COMPUTED_VALUE"""),37.1)</f>
        <v>37.1</v>
      </c>
      <c r="E2282" s="1">
        <f>IFERROR(__xludf.DUMMYFUNCTION("""COMPUTED_VALUE"""),37.39)</f>
        <v>37.39</v>
      </c>
      <c r="F2282" s="1">
        <f>IFERROR(__xludf.DUMMYFUNCTION("""COMPUTED_VALUE"""),525611.0)</f>
        <v>525611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IFERROR(__xludf.DUMMYFUNCTION("""COMPUTED_VALUE"""),37.23)</f>
        <v>37.23</v>
      </c>
      <c r="C2283" s="1">
        <f>IFERROR(__xludf.DUMMYFUNCTION("""COMPUTED_VALUE"""),37.84)</f>
        <v>37.84</v>
      </c>
      <c r="D2283" s="1">
        <f>IFERROR(__xludf.DUMMYFUNCTION("""COMPUTED_VALUE"""),36.9)</f>
        <v>36.9</v>
      </c>
      <c r="E2283" s="1">
        <f>IFERROR(__xludf.DUMMYFUNCTION("""COMPUTED_VALUE"""),37.32)</f>
        <v>37.32</v>
      </c>
      <c r="F2283" s="1">
        <f>IFERROR(__xludf.DUMMYFUNCTION("""COMPUTED_VALUE"""),552814.0)</f>
        <v>552814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IFERROR(__xludf.DUMMYFUNCTION("""COMPUTED_VALUE"""),37.33)</f>
        <v>37.33</v>
      </c>
      <c r="C2284" s="1">
        <f>IFERROR(__xludf.DUMMYFUNCTION("""COMPUTED_VALUE"""),37.59)</f>
        <v>37.59</v>
      </c>
      <c r="D2284" s="1">
        <f>IFERROR(__xludf.DUMMYFUNCTION("""COMPUTED_VALUE"""),37.23)</f>
        <v>37.23</v>
      </c>
      <c r="E2284" s="1">
        <f>IFERROR(__xludf.DUMMYFUNCTION("""COMPUTED_VALUE"""),37.29)</f>
        <v>37.29</v>
      </c>
      <c r="F2284" s="1">
        <f>IFERROR(__xludf.DUMMYFUNCTION("""COMPUTED_VALUE"""),397364.0)</f>
        <v>397364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IFERROR(__xludf.DUMMYFUNCTION("""COMPUTED_VALUE"""),37.5)</f>
        <v>37.5</v>
      </c>
      <c r="C2285" s="1">
        <f>IFERROR(__xludf.DUMMYFUNCTION("""COMPUTED_VALUE"""),37.74)</f>
        <v>37.74</v>
      </c>
      <c r="D2285" s="1">
        <f>IFERROR(__xludf.DUMMYFUNCTION("""COMPUTED_VALUE"""),37.07)</f>
        <v>37.07</v>
      </c>
      <c r="E2285" s="1">
        <f>IFERROR(__xludf.DUMMYFUNCTION("""COMPUTED_VALUE"""),37.19)</f>
        <v>37.19</v>
      </c>
      <c r="F2285" s="1">
        <f>IFERROR(__xludf.DUMMYFUNCTION("""COMPUTED_VALUE"""),610752.0)</f>
        <v>610752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IFERROR(__xludf.DUMMYFUNCTION("""COMPUTED_VALUE"""),37.02)</f>
        <v>37.02</v>
      </c>
      <c r="C2286" s="1">
        <f>IFERROR(__xludf.DUMMYFUNCTION("""COMPUTED_VALUE"""),37.18)</f>
        <v>37.18</v>
      </c>
      <c r="D2286" s="1">
        <f>IFERROR(__xludf.DUMMYFUNCTION("""COMPUTED_VALUE"""),36.26)</f>
        <v>36.26</v>
      </c>
      <c r="E2286" s="1">
        <f>IFERROR(__xludf.DUMMYFUNCTION("""COMPUTED_VALUE"""),37.12)</f>
        <v>37.12</v>
      </c>
      <c r="F2286" s="1">
        <f>IFERROR(__xludf.DUMMYFUNCTION("""COMPUTED_VALUE"""),561100.0)</f>
        <v>561100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IFERROR(__xludf.DUMMYFUNCTION("""COMPUTED_VALUE"""),37.19)</f>
        <v>37.19</v>
      </c>
      <c r="C2287" s="1">
        <f>IFERROR(__xludf.DUMMYFUNCTION("""COMPUTED_VALUE"""),37.43)</f>
        <v>37.43</v>
      </c>
      <c r="D2287" s="1">
        <f>IFERROR(__xludf.DUMMYFUNCTION("""COMPUTED_VALUE"""),35.29)</f>
        <v>35.29</v>
      </c>
      <c r="E2287" s="1">
        <f>IFERROR(__xludf.DUMMYFUNCTION("""COMPUTED_VALUE"""),37.26)</f>
        <v>37.26</v>
      </c>
      <c r="F2287" s="1">
        <f>IFERROR(__xludf.DUMMYFUNCTION("""COMPUTED_VALUE"""),514934.0)</f>
        <v>514934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IFERROR(__xludf.DUMMYFUNCTION("""COMPUTED_VALUE"""),37.26)</f>
        <v>37.26</v>
      </c>
      <c r="C2288" s="1">
        <f>IFERROR(__xludf.DUMMYFUNCTION("""COMPUTED_VALUE"""),37.84)</f>
        <v>37.84</v>
      </c>
      <c r="D2288" s="1">
        <f>IFERROR(__xludf.DUMMYFUNCTION("""COMPUTED_VALUE"""),37.08)</f>
        <v>37.08</v>
      </c>
      <c r="E2288" s="1">
        <f>IFERROR(__xludf.DUMMYFUNCTION("""COMPUTED_VALUE"""),37.83)</f>
        <v>37.83</v>
      </c>
      <c r="F2288" s="1">
        <f>IFERROR(__xludf.DUMMYFUNCTION("""COMPUTED_VALUE"""),511104.0)</f>
        <v>511104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IFERROR(__xludf.DUMMYFUNCTION("""COMPUTED_VALUE"""),37.81)</f>
        <v>37.81</v>
      </c>
      <c r="C2289" s="1">
        <f>IFERROR(__xludf.DUMMYFUNCTION("""COMPUTED_VALUE"""),37.98)</f>
        <v>37.98</v>
      </c>
      <c r="D2289" s="1">
        <f>IFERROR(__xludf.DUMMYFUNCTION("""COMPUTED_VALUE"""),37.5)</f>
        <v>37.5</v>
      </c>
      <c r="E2289" s="1">
        <f>IFERROR(__xludf.DUMMYFUNCTION("""COMPUTED_VALUE"""),37.9)</f>
        <v>37.9</v>
      </c>
      <c r="F2289" s="1">
        <f>IFERROR(__xludf.DUMMYFUNCTION("""COMPUTED_VALUE"""),446169.0)</f>
        <v>446169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IFERROR(__xludf.DUMMYFUNCTION("""COMPUTED_VALUE"""),37.7)</f>
        <v>37.7</v>
      </c>
      <c r="C2290" s="1">
        <f>IFERROR(__xludf.DUMMYFUNCTION("""COMPUTED_VALUE"""),38.14)</f>
        <v>38.14</v>
      </c>
      <c r="D2290" s="1">
        <f>IFERROR(__xludf.DUMMYFUNCTION("""COMPUTED_VALUE"""),37.6)</f>
        <v>37.6</v>
      </c>
      <c r="E2290" s="1">
        <f>IFERROR(__xludf.DUMMYFUNCTION("""COMPUTED_VALUE"""),37.78)</f>
        <v>37.78</v>
      </c>
      <c r="F2290" s="1">
        <f>IFERROR(__xludf.DUMMYFUNCTION("""COMPUTED_VALUE"""),520560.0)</f>
        <v>520560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IFERROR(__xludf.DUMMYFUNCTION("""COMPUTED_VALUE"""),37.8)</f>
        <v>37.8</v>
      </c>
      <c r="C2291" s="1">
        <f>IFERROR(__xludf.DUMMYFUNCTION("""COMPUTED_VALUE"""),38.29)</f>
        <v>38.29</v>
      </c>
      <c r="D2291" s="1">
        <f>IFERROR(__xludf.DUMMYFUNCTION("""COMPUTED_VALUE"""),37.56)</f>
        <v>37.56</v>
      </c>
      <c r="E2291" s="1">
        <f>IFERROR(__xludf.DUMMYFUNCTION("""COMPUTED_VALUE"""),38.28)</f>
        <v>38.28</v>
      </c>
      <c r="F2291" s="1">
        <f>IFERROR(__xludf.DUMMYFUNCTION("""COMPUTED_VALUE"""),700825.0)</f>
        <v>700825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IFERROR(__xludf.DUMMYFUNCTION("""COMPUTED_VALUE"""),38.21)</f>
        <v>38.21</v>
      </c>
      <c r="C2292" s="1">
        <f>IFERROR(__xludf.DUMMYFUNCTION("""COMPUTED_VALUE"""),38.41)</f>
        <v>38.41</v>
      </c>
      <c r="D2292" s="1">
        <f>IFERROR(__xludf.DUMMYFUNCTION("""COMPUTED_VALUE"""),37.49)</f>
        <v>37.49</v>
      </c>
      <c r="E2292" s="1">
        <f>IFERROR(__xludf.DUMMYFUNCTION("""COMPUTED_VALUE"""),37.55)</f>
        <v>37.55</v>
      </c>
      <c r="F2292" s="1">
        <f>IFERROR(__xludf.DUMMYFUNCTION("""COMPUTED_VALUE"""),405237.0)</f>
        <v>405237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IFERROR(__xludf.DUMMYFUNCTION("""COMPUTED_VALUE"""),37.72)</f>
        <v>37.72</v>
      </c>
      <c r="C2293" s="1">
        <f>IFERROR(__xludf.DUMMYFUNCTION("""COMPUTED_VALUE"""),38.24)</f>
        <v>38.24</v>
      </c>
      <c r="D2293" s="1">
        <f>IFERROR(__xludf.DUMMYFUNCTION("""COMPUTED_VALUE"""),37.5)</f>
        <v>37.5</v>
      </c>
      <c r="E2293" s="1">
        <f>IFERROR(__xludf.DUMMYFUNCTION("""COMPUTED_VALUE"""),38.21)</f>
        <v>38.21</v>
      </c>
      <c r="F2293" s="1">
        <f>IFERROR(__xludf.DUMMYFUNCTION("""COMPUTED_VALUE"""),583887.0)</f>
        <v>583887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IFERROR(__xludf.DUMMYFUNCTION("""COMPUTED_VALUE"""),38.43)</f>
        <v>38.43</v>
      </c>
      <c r="C2294" s="1">
        <f>IFERROR(__xludf.DUMMYFUNCTION("""COMPUTED_VALUE"""),38.88)</f>
        <v>38.88</v>
      </c>
      <c r="D2294" s="1">
        <f>IFERROR(__xludf.DUMMYFUNCTION("""COMPUTED_VALUE"""),38.35)</f>
        <v>38.35</v>
      </c>
      <c r="E2294" s="1">
        <f>IFERROR(__xludf.DUMMYFUNCTION("""COMPUTED_VALUE"""),38.41)</f>
        <v>38.41</v>
      </c>
      <c r="F2294" s="1">
        <f>IFERROR(__xludf.DUMMYFUNCTION("""COMPUTED_VALUE"""),406666.0)</f>
        <v>406666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IFERROR(__xludf.DUMMYFUNCTION("""COMPUTED_VALUE"""),38.41)</f>
        <v>38.41</v>
      </c>
      <c r="C2295" s="1">
        <f>IFERROR(__xludf.DUMMYFUNCTION("""COMPUTED_VALUE"""),38.88)</f>
        <v>38.88</v>
      </c>
      <c r="D2295" s="1">
        <f>IFERROR(__xludf.DUMMYFUNCTION("""COMPUTED_VALUE"""),38.33)</f>
        <v>38.33</v>
      </c>
      <c r="E2295" s="1">
        <f>IFERROR(__xludf.DUMMYFUNCTION("""COMPUTED_VALUE"""),38.7)</f>
        <v>38.7</v>
      </c>
      <c r="F2295" s="1">
        <f>IFERROR(__xludf.DUMMYFUNCTION("""COMPUTED_VALUE"""),496298.0)</f>
        <v>496298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IFERROR(__xludf.DUMMYFUNCTION("""COMPUTED_VALUE"""),38.33)</f>
        <v>38.33</v>
      </c>
      <c r="C2296" s="1">
        <f>IFERROR(__xludf.DUMMYFUNCTION("""COMPUTED_VALUE"""),38.7)</f>
        <v>38.7</v>
      </c>
      <c r="D2296" s="1">
        <f>IFERROR(__xludf.DUMMYFUNCTION("""COMPUTED_VALUE"""),38.08)</f>
        <v>38.08</v>
      </c>
      <c r="E2296" s="1">
        <f>IFERROR(__xludf.DUMMYFUNCTION("""COMPUTED_VALUE"""),38.5)</f>
        <v>38.5</v>
      </c>
      <c r="F2296" s="1">
        <f>IFERROR(__xludf.DUMMYFUNCTION("""COMPUTED_VALUE"""),509612.0)</f>
        <v>509612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IFERROR(__xludf.DUMMYFUNCTION("""COMPUTED_VALUE"""),38.7)</f>
        <v>38.7</v>
      </c>
      <c r="C2297" s="1">
        <f>IFERROR(__xludf.DUMMYFUNCTION("""COMPUTED_VALUE"""),39.36)</f>
        <v>39.36</v>
      </c>
      <c r="D2297" s="1">
        <f>IFERROR(__xludf.DUMMYFUNCTION("""COMPUTED_VALUE"""),38.56)</f>
        <v>38.56</v>
      </c>
      <c r="E2297" s="1">
        <f>IFERROR(__xludf.DUMMYFUNCTION("""COMPUTED_VALUE"""),39.34)</f>
        <v>39.34</v>
      </c>
      <c r="F2297" s="1">
        <f>IFERROR(__xludf.DUMMYFUNCTION("""COMPUTED_VALUE"""),1262716.0)</f>
        <v>1262716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IFERROR(__xludf.DUMMYFUNCTION("""COMPUTED_VALUE"""),39.1)</f>
        <v>39.1</v>
      </c>
      <c r="C2298" s="1">
        <f>IFERROR(__xludf.DUMMYFUNCTION("""COMPUTED_VALUE"""),39.63)</f>
        <v>39.63</v>
      </c>
      <c r="D2298" s="1">
        <f>IFERROR(__xludf.DUMMYFUNCTION("""COMPUTED_VALUE"""),38.94)</f>
        <v>38.94</v>
      </c>
      <c r="E2298" s="1">
        <f>IFERROR(__xludf.DUMMYFUNCTION("""COMPUTED_VALUE"""),39.45)</f>
        <v>39.45</v>
      </c>
      <c r="F2298" s="1">
        <f>IFERROR(__xludf.DUMMYFUNCTION("""COMPUTED_VALUE"""),337121.0)</f>
        <v>337121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IFERROR(__xludf.DUMMYFUNCTION("""COMPUTED_VALUE"""),39.61)</f>
        <v>39.61</v>
      </c>
      <c r="C2299" s="1">
        <f>IFERROR(__xludf.DUMMYFUNCTION("""COMPUTED_VALUE"""),40.06)</f>
        <v>40.06</v>
      </c>
      <c r="D2299" s="1">
        <f>IFERROR(__xludf.DUMMYFUNCTION("""COMPUTED_VALUE"""),39.28)</f>
        <v>39.28</v>
      </c>
      <c r="E2299" s="1">
        <f>IFERROR(__xludf.DUMMYFUNCTION("""COMPUTED_VALUE"""),40.03)</f>
        <v>40.03</v>
      </c>
      <c r="F2299" s="1">
        <f>IFERROR(__xludf.DUMMYFUNCTION("""COMPUTED_VALUE"""),446689.0)</f>
        <v>446689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IFERROR(__xludf.DUMMYFUNCTION("""COMPUTED_VALUE"""),40.02)</f>
        <v>40.02</v>
      </c>
      <c r="C2300" s="1">
        <f>IFERROR(__xludf.DUMMYFUNCTION("""COMPUTED_VALUE"""),40.02)</f>
        <v>40.02</v>
      </c>
      <c r="D2300" s="1">
        <f>IFERROR(__xludf.DUMMYFUNCTION("""COMPUTED_VALUE"""),39.5)</f>
        <v>39.5</v>
      </c>
      <c r="E2300" s="1">
        <f>IFERROR(__xludf.DUMMYFUNCTION("""COMPUTED_VALUE"""),39.61)</f>
        <v>39.61</v>
      </c>
      <c r="F2300" s="1">
        <f>IFERROR(__xludf.DUMMYFUNCTION("""COMPUTED_VALUE"""),437100.0)</f>
        <v>437100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IFERROR(__xludf.DUMMYFUNCTION("""COMPUTED_VALUE"""),39.65)</f>
        <v>39.65</v>
      </c>
      <c r="C2301" s="1">
        <f>IFERROR(__xludf.DUMMYFUNCTION("""COMPUTED_VALUE"""),39.67)</f>
        <v>39.67</v>
      </c>
      <c r="D2301" s="1">
        <f>IFERROR(__xludf.DUMMYFUNCTION("""COMPUTED_VALUE"""),39.36)</f>
        <v>39.36</v>
      </c>
      <c r="E2301" s="1">
        <f>IFERROR(__xludf.DUMMYFUNCTION("""COMPUTED_VALUE"""),39.54)</f>
        <v>39.54</v>
      </c>
      <c r="F2301" s="1">
        <f>IFERROR(__xludf.DUMMYFUNCTION("""COMPUTED_VALUE"""),239547.0)</f>
        <v>239547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IFERROR(__xludf.DUMMYFUNCTION("""COMPUTED_VALUE"""),39.71)</f>
        <v>39.71</v>
      </c>
      <c r="C2302" s="1">
        <f>IFERROR(__xludf.DUMMYFUNCTION("""COMPUTED_VALUE"""),39.76)</f>
        <v>39.76</v>
      </c>
      <c r="D2302" s="1">
        <f>IFERROR(__xludf.DUMMYFUNCTION("""COMPUTED_VALUE"""),39.38)</f>
        <v>39.38</v>
      </c>
      <c r="E2302" s="1">
        <f>IFERROR(__xludf.DUMMYFUNCTION("""COMPUTED_VALUE"""),39.48)</f>
        <v>39.48</v>
      </c>
      <c r="F2302" s="1">
        <f>IFERROR(__xludf.DUMMYFUNCTION("""COMPUTED_VALUE"""),381889.0)</f>
        <v>381889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IFERROR(__xludf.DUMMYFUNCTION("""COMPUTED_VALUE"""),39.37)</f>
        <v>39.37</v>
      </c>
      <c r="C2303" s="1">
        <f>IFERROR(__xludf.DUMMYFUNCTION("""COMPUTED_VALUE"""),39.5)</f>
        <v>39.5</v>
      </c>
      <c r="D2303" s="1">
        <f>IFERROR(__xludf.DUMMYFUNCTION("""COMPUTED_VALUE"""),38.78)</f>
        <v>38.78</v>
      </c>
      <c r="E2303" s="1">
        <f>IFERROR(__xludf.DUMMYFUNCTION("""COMPUTED_VALUE"""),38.79)</f>
        <v>38.79</v>
      </c>
      <c r="F2303" s="1">
        <f>IFERROR(__xludf.DUMMYFUNCTION("""COMPUTED_VALUE"""),384672.0)</f>
        <v>384672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IFERROR(__xludf.DUMMYFUNCTION("""COMPUTED_VALUE"""),38.78)</f>
        <v>38.78</v>
      </c>
      <c r="C2304" s="1">
        <f>IFERROR(__xludf.DUMMYFUNCTION("""COMPUTED_VALUE"""),39.08)</f>
        <v>39.08</v>
      </c>
      <c r="D2304" s="1">
        <f>IFERROR(__xludf.DUMMYFUNCTION("""COMPUTED_VALUE"""),38.29)</f>
        <v>38.29</v>
      </c>
      <c r="E2304" s="1">
        <f>IFERROR(__xludf.DUMMYFUNCTION("""COMPUTED_VALUE"""),39.06)</f>
        <v>39.06</v>
      </c>
      <c r="F2304" s="1">
        <f>IFERROR(__xludf.DUMMYFUNCTION("""COMPUTED_VALUE"""),314296.0)</f>
        <v>314296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IFERROR(__xludf.DUMMYFUNCTION("""COMPUTED_VALUE"""),39.14)</f>
        <v>39.14</v>
      </c>
      <c r="C2305" s="1">
        <f>IFERROR(__xludf.DUMMYFUNCTION("""COMPUTED_VALUE"""),39.23)</f>
        <v>39.23</v>
      </c>
      <c r="D2305" s="1">
        <f>IFERROR(__xludf.DUMMYFUNCTION("""COMPUTED_VALUE"""),38.82)</f>
        <v>38.82</v>
      </c>
      <c r="E2305" s="1">
        <f>IFERROR(__xludf.DUMMYFUNCTION("""COMPUTED_VALUE"""),38.84)</f>
        <v>38.84</v>
      </c>
      <c r="F2305" s="1">
        <f>IFERROR(__xludf.DUMMYFUNCTION("""COMPUTED_VALUE"""),336213.0)</f>
        <v>336213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IFERROR(__xludf.DUMMYFUNCTION("""COMPUTED_VALUE"""),38.73)</f>
        <v>38.73</v>
      </c>
      <c r="C2306" s="1">
        <f>IFERROR(__xludf.DUMMYFUNCTION("""COMPUTED_VALUE"""),38.92)</f>
        <v>38.92</v>
      </c>
      <c r="D2306" s="1">
        <f>IFERROR(__xludf.DUMMYFUNCTION("""COMPUTED_VALUE"""),38.14)</f>
        <v>38.14</v>
      </c>
      <c r="E2306" s="1">
        <f>IFERROR(__xludf.DUMMYFUNCTION("""COMPUTED_VALUE"""),38.36)</f>
        <v>38.36</v>
      </c>
      <c r="F2306" s="1">
        <f>IFERROR(__xludf.DUMMYFUNCTION("""COMPUTED_VALUE"""),721991.0)</f>
        <v>721991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IFERROR(__xludf.DUMMYFUNCTION("""COMPUTED_VALUE"""),38.35)</f>
        <v>38.35</v>
      </c>
      <c r="C2307" s="1">
        <f>IFERROR(__xludf.DUMMYFUNCTION("""COMPUTED_VALUE"""),38.71)</f>
        <v>38.71</v>
      </c>
      <c r="D2307" s="1">
        <f>IFERROR(__xludf.DUMMYFUNCTION("""COMPUTED_VALUE"""),37.89)</f>
        <v>37.89</v>
      </c>
      <c r="E2307" s="1">
        <f>IFERROR(__xludf.DUMMYFUNCTION("""COMPUTED_VALUE"""),38.24)</f>
        <v>38.24</v>
      </c>
      <c r="F2307" s="1">
        <f>IFERROR(__xludf.DUMMYFUNCTION("""COMPUTED_VALUE"""),351891.0)</f>
        <v>351891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IFERROR(__xludf.DUMMYFUNCTION("""COMPUTED_VALUE"""),38.25)</f>
        <v>38.25</v>
      </c>
      <c r="C2308" s="1">
        <f>IFERROR(__xludf.DUMMYFUNCTION("""COMPUTED_VALUE"""),38.25)</f>
        <v>38.25</v>
      </c>
      <c r="D2308" s="1">
        <f>IFERROR(__xludf.DUMMYFUNCTION("""COMPUTED_VALUE"""),37.65)</f>
        <v>37.65</v>
      </c>
      <c r="E2308" s="1">
        <f>IFERROR(__xludf.DUMMYFUNCTION("""COMPUTED_VALUE"""),38.0)</f>
        <v>38</v>
      </c>
      <c r="F2308" s="1">
        <f>IFERROR(__xludf.DUMMYFUNCTION("""COMPUTED_VALUE"""),370409.0)</f>
        <v>370409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IFERROR(__xludf.DUMMYFUNCTION("""COMPUTED_VALUE"""),37.95)</f>
        <v>37.95</v>
      </c>
      <c r="C2309" s="1">
        <f>IFERROR(__xludf.DUMMYFUNCTION("""COMPUTED_VALUE"""),38.04)</f>
        <v>38.04</v>
      </c>
      <c r="D2309" s="1">
        <f>IFERROR(__xludf.DUMMYFUNCTION("""COMPUTED_VALUE"""),37.06)</f>
        <v>37.06</v>
      </c>
      <c r="E2309" s="1">
        <f>IFERROR(__xludf.DUMMYFUNCTION("""COMPUTED_VALUE"""),37.08)</f>
        <v>37.08</v>
      </c>
      <c r="F2309" s="1">
        <f>IFERROR(__xludf.DUMMYFUNCTION("""COMPUTED_VALUE"""),514984.0)</f>
        <v>514984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IFERROR(__xludf.DUMMYFUNCTION("""COMPUTED_VALUE"""),37.03)</f>
        <v>37.03</v>
      </c>
      <c r="C2310" s="1">
        <f>IFERROR(__xludf.DUMMYFUNCTION("""COMPUTED_VALUE"""),37.09)</f>
        <v>37.09</v>
      </c>
      <c r="D2310" s="1">
        <f>IFERROR(__xludf.DUMMYFUNCTION("""COMPUTED_VALUE"""),36.35)</f>
        <v>36.35</v>
      </c>
      <c r="E2310" s="1">
        <f>IFERROR(__xludf.DUMMYFUNCTION("""COMPUTED_VALUE"""),36.51)</f>
        <v>36.51</v>
      </c>
      <c r="F2310" s="1">
        <f>IFERROR(__xludf.DUMMYFUNCTION("""COMPUTED_VALUE"""),605923.0)</f>
        <v>605923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IFERROR(__xludf.DUMMYFUNCTION("""COMPUTED_VALUE"""),36.3)</f>
        <v>36.3</v>
      </c>
      <c r="C2311" s="1">
        <f>IFERROR(__xludf.DUMMYFUNCTION("""COMPUTED_VALUE"""),36.77)</f>
        <v>36.77</v>
      </c>
      <c r="D2311" s="1">
        <f>IFERROR(__xludf.DUMMYFUNCTION("""COMPUTED_VALUE"""),36.28)</f>
        <v>36.28</v>
      </c>
      <c r="E2311" s="1">
        <f>IFERROR(__xludf.DUMMYFUNCTION("""COMPUTED_VALUE"""),36.68)</f>
        <v>36.68</v>
      </c>
      <c r="F2311" s="1">
        <f>IFERROR(__xludf.DUMMYFUNCTION("""COMPUTED_VALUE"""),491708.0)</f>
        <v>491708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IFERROR(__xludf.DUMMYFUNCTION("""COMPUTED_VALUE"""),36.73)</f>
        <v>36.73</v>
      </c>
      <c r="C2312" s="1">
        <f>IFERROR(__xludf.DUMMYFUNCTION("""COMPUTED_VALUE"""),36.73)</f>
        <v>36.73</v>
      </c>
      <c r="D2312" s="1">
        <f>IFERROR(__xludf.DUMMYFUNCTION("""COMPUTED_VALUE"""),36.29)</f>
        <v>36.29</v>
      </c>
      <c r="E2312" s="1">
        <f>IFERROR(__xludf.DUMMYFUNCTION("""COMPUTED_VALUE"""),36.53)</f>
        <v>36.53</v>
      </c>
      <c r="F2312" s="1">
        <f>IFERROR(__xludf.DUMMYFUNCTION("""COMPUTED_VALUE"""),462087.0)</f>
        <v>462087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IFERROR(__xludf.DUMMYFUNCTION("""COMPUTED_VALUE"""),36.55)</f>
        <v>36.55</v>
      </c>
      <c r="C2313" s="1">
        <f>IFERROR(__xludf.DUMMYFUNCTION("""COMPUTED_VALUE"""),36.61)</f>
        <v>36.61</v>
      </c>
      <c r="D2313" s="1">
        <f>IFERROR(__xludf.DUMMYFUNCTION("""COMPUTED_VALUE"""),36.16)</f>
        <v>36.16</v>
      </c>
      <c r="E2313" s="1">
        <f>IFERROR(__xludf.DUMMYFUNCTION("""COMPUTED_VALUE"""),36.52)</f>
        <v>36.52</v>
      </c>
      <c r="F2313" s="1">
        <f>IFERROR(__xludf.DUMMYFUNCTION("""COMPUTED_VALUE"""),348778.0)</f>
        <v>348778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IFERROR(__xludf.DUMMYFUNCTION("""COMPUTED_VALUE"""),36.66)</f>
        <v>36.66</v>
      </c>
      <c r="C2314" s="1">
        <f>IFERROR(__xludf.DUMMYFUNCTION("""COMPUTED_VALUE"""),36.87)</f>
        <v>36.87</v>
      </c>
      <c r="D2314" s="1">
        <f>IFERROR(__xludf.DUMMYFUNCTION("""COMPUTED_VALUE"""),36.36)</f>
        <v>36.36</v>
      </c>
      <c r="E2314" s="1">
        <f>IFERROR(__xludf.DUMMYFUNCTION("""COMPUTED_VALUE"""),36.51)</f>
        <v>36.51</v>
      </c>
      <c r="F2314" s="1">
        <f>IFERROR(__xludf.DUMMYFUNCTION("""COMPUTED_VALUE"""),482687.0)</f>
        <v>482687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IFERROR(__xludf.DUMMYFUNCTION("""COMPUTED_VALUE"""),36.5)</f>
        <v>36.5</v>
      </c>
      <c r="C2315" s="1">
        <f>IFERROR(__xludf.DUMMYFUNCTION("""COMPUTED_VALUE"""),36.57)</f>
        <v>36.57</v>
      </c>
      <c r="D2315" s="1">
        <f>IFERROR(__xludf.DUMMYFUNCTION("""COMPUTED_VALUE"""),36.29)</f>
        <v>36.29</v>
      </c>
      <c r="E2315" s="1">
        <f>IFERROR(__xludf.DUMMYFUNCTION("""COMPUTED_VALUE"""),36.43)</f>
        <v>36.43</v>
      </c>
      <c r="F2315" s="1">
        <f>IFERROR(__xludf.DUMMYFUNCTION("""COMPUTED_VALUE"""),316022.0)</f>
        <v>316022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IFERROR(__xludf.DUMMYFUNCTION("""COMPUTED_VALUE"""),36.43)</f>
        <v>36.43</v>
      </c>
      <c r="C2316" s="1">
        <f>IFERROR(__xludf.DUMMYFUNCTION("""COMPUTED_VALUE"""),36.51)</f>
        <v>36.51</v>
      </c>
      <c r="D2316" s="1">
        <f>IFERROR(__xludf.DUMMYFUNCTION("""COMPUTED_VALUE"""),36.06)</f>
        <v>36.06</v>
      </c>
      <c r="E2316" s="1">
        <f>IFERROR(__xludf.DUMMYFUNCTION("""COMPUTED_VALUE"""),36.23)</f>
        <v>36.23</v>
      </c>
      <c r="F2316" s="1">
        <f>IFERROR(__xludf.DUMMYFUNCTION("""COMPUTED_VALUE"""),1150579.0)</f>
        <v>1150579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IFERROR(__xludf.DUMMYFUNCTION("""COMPUTED_VALUE"""),36.38)</f>
        <v>36.38</v>
      </c>
      <c r="C2317" s="1">
        <f>IFERROR(__xludf.DUMMYFUNCTION("""COMPUTED_VALUE"""),36.9)</f>
        <v>36.9</v>
      </c>
      <c r="D2317" s="1">
        <f>IFERROR(__xludf.DUMMYFUNCTION("""COMPUTED_VALUE"""),36.25)</f>
        <v>36.25</v>
      </c>
      <c r="E2317" s="1">
        <f>IFERROR(__xludf.DUMMYFUNCTION("""COMPUTED_VALUE"""),36.74)</f>
        <v>36.74</v>
      </c>
      <c r="F2317" s="1">
        <f>IFERROR(__xludf.DUMMYFUNCTION("""COMPUTED_VALUE"""),553989.0)</f>
        <v>553989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IFERROR(__xludf.DUMMYFUNCTION("""COMPUTED_VALUE"""),36.92)</f>
        <v>36.92</v>
      </c>
      <c r="C2318" s="1">
        <f>IFERROR(__xludf.DUMMYFUNCTION("""COMPUTED_VALUE"""),36.92)</f>
        <v>36.92</v>
      </c>
      <c r="D2318" s="1">
        <f>IFERROR(__xludf.DUMMYFUNCTION("""COMPUTED_VALUE"""),35.66)</f>
        <v>35.66</v>
      </c>
      <c r="E2318" s="1">
        <f>IFERROR(__xludf.DUMMYFUNCTION("""COMPUTED_VALUE"""),35.71)</f>
        <v>35.71</v>
      </c>
      <c r="F2318" s="1">
        <f>IFERROR(__xludf.DUMMYFUNCTION("""COMPUTED_VALUE"""),557433.0)</f>
        <v>557433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IFERROR(__xludf.DUMMYFUNCTION("""COMPUTED_VALUE"""),35.66)</f>
        <v>35.66</v>
      </c>
      <c r="C2319" s="1">
        <f>IFERROR(__xludf.DUMMYFUNCTION("""COMPUTED_VALUE"""),35.78)</f>
        <v>35.78</v>
      </c>
      <c r="D2319" s="1">
        <f>IFERROR(__xludf.DUMMYFUNCTION("""COMPUTED_VALUE"""),34.12)</f>
        <v>34.12</v>
      </c>
      <c r="E2319" s="1">
        <f>IFERROR(__xludf.DUMMYFUNCTION("""COMPUTED_VALUE"""),34.14)</f>
        <v>34.14</v>
      </c>
      <c r="F2319" s="1">
        <f>IFERROR(__xludf.DUMMYFUNCTION("""COMPUTED_VALUE"""),546082.0)</f>
        <v>546082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IFERROR(__xludf.DUMMYFUNCTION("""COMPUTED_VALUE"""),33.98)</f>
        <v>33.98</v>
      </c>
      <c r="C2320" s="1">
        <f>IFERROR(__xludf.DUMMYFUNCTION("""COMPUTED_VALUE"""),34.34)</f>
        <v>34.34</v>
      </c>
      <c r="D2320" s="1">
        <f>IFERROR(__xludf.DUMMYFUNCTION("""COMPUTED_VALUE"""),33.52)</f>
        <v>33.52</v>
      </c>
      <c r="E2320" s="1">
        <f>IFERROR(__xludf.DUMMYFUNCTION("""COMPUTED_VALUE"""),33.66)</f>
        <v>33.66</v>
      </c>
      <c r="F2320" s="1">
        <f>IFERROR(__xludf.DUMMYFUNCTION("""COMPUTED_VALUE"""),534796.0)</f>
        <v>534796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IFERROR(__xludf.DUMMYFUNCTION("""COMPUTED_VALUE"""),33.42)</f>
        <v>33.42</v>
      </c>
      <c r="C2321" s="1">
        <f>IFERROR(__xludf.DUMMYFUNCTION("""COMPUTED_VALUE"""),33.5)</f>
        <v>33.5</v>
      </c>
      <c r="D2321" s="1">
        <f>IFERROR(__xludf.DUMMYFUNCTION("""COMPUTED_VALUE"""),32.16)</f>
        <v>32.16</v>
      </c>
      <c r="E2321" s="1">
        <f>IFERROR(__xludf.DUMMYFUNCTION("""COMPUTED_VALUE"""),32.43)</f>
        <v>32.43</v>
      </c>
      <c r="F2321" s="1">
        <f>IFERROR(__xludf.DUMMYFUNCTION("""COMPUTED_VALUE"""),984417.0)</f>
        <v>984417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IFERROR(__xludf.DUMMYFUNCTION("""COMPUTED_VALUE"""),32.36)</f>
        <v>32.36</v>
      </c>
      <c r="C2322" s="1">
        <f>IFERROR(__xludf.DUMMYFUNCTION("""COMPUTED_VALUE"""),33.04)</f>
        <v>33.04</v>
      </c>
      <c r="D2322" s="1">
        <f>IFERROR(__xludf.DUMMYFUNCTION("""COMPUTED_VALUE"""),32.09)</f>
        <v>32.09</v>
      </c>
      <c r="E2322" s="1">
        <f>IFERROR(__xludf.DUMMYFUNCTION("""COMPUTED_VALUE"""),32.79)</f>
        <v>32.79</v>
      </c>
      <c r="F2322" s="1">
        <f>IFERROR(__xludf.DUMMYFUNCTION("""COMPUTED_VALUE"""),723027.0)</f>
        <v>723027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IFERROR(__xludf.DUMMYFUNCTION("""COMPUTED_VALUE"""),32.96)</f>
        <v>32.96</v>
      </c>
      <c r="C2323" s="1">
        <f>IFERROR(__xludf.DUMMYFUNCTION("""COMPUTED_VALUE"""),33.69)</f>
        <v>33.69</v>
      </c>
      <c r="D2323" s="1">
        <f>IFERROR(__xludf.DUMMYFUNCTION("""COMPUTED_VALUE"""),32.88)</f>
        <v>32.88</v>
      </c>
      <c r="E2323" s="1">
        <f>IFERROR(__xludf.DUMMYFUNCTION("""COMPUTED_VALUE"""),33.65)</f>
        <v>33.65</v>
      </c>
      <c r="F2323" s="1">
        <f>IFERROR(__xludf.DUMMYFUNCTION("""COMPUTED_VALUE"""),430078.0)</f>
        <v>430078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IFERROR(__xludf.DUMMYFUNCTION("""COMPUTED_VALUE"""),33.5)</f>
        <v>33.5</v>
      </c>
      <c r="C2324" s="1">
        <f>IFERROR(__xludf.DUMMYFUNCTION("""COMPUTED_VALUE"""),33.95)</f>
        <v>33.95</v>
      </c>
      <c r="D2324" s="1">
        <f>IFERROR(__xludf.DUMMYFUNCTION("""COMPUTED_VALUE"""),33.29)</f>
        <v>33.29</v>
      </c>
      <c r="E2324" s="1">
        <f>IFERROR(__xludf.DUMMYFUNCTION("""COMPUTED_VALUE"""),33.67)</f>
        <v>33.67</v>
      </c>
      <c r="F2324" s="1">
        <f>IFERROR(__xludf.DUMMYFUNCTION("""COMPUTED_VALUE"""),819650.0)</f>
        <v>819650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IFERROR(__xludf.DUMMYFUNCTION("""COMPUTED_VALUE"""),33.72)</f>
        <v>33.72</v>
      </c>
      <c r="C2325" s="1">
        <f>IFERROR(__xludf.DUMMYFUNCTION("""COMPUTED_VALUE"""),34.15)</f>
        <v>34.15</v>
      </c>
      <c r="D2325" s="1">
        <f>IFERROR(__xludf.DUMMYFUNCTION("""COMPUTED_VALUE"""),33.31)</f>
        <v>33.31</v>
      </c>
      <c r="E2325" s="1">
        <f>IFERROR(__xludf.DUMMYFUNCTION("""COMPUTED_VALUE"""),33.9)</f>
        <v>33.9</v>
      </c>
      <c r="F2325" s="1">
        <f>IFERROR(__xludf.DUMMYFUNCTION("""COMPUTED_VALUE"""),822881.0)</f>
        <v>822881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IFERROR(__xludf.DUMMYFUNCTION("""COMPUTED_VALUE"""),34.25)</f>
        <v>34.25</v>
      </c>
      <c r="C2326" s="1">
        <f>IFERROR(__xludf.DUMMYFUNCTION("""COMPUTED_VALUE"""),34.35)</f>
        <v>34.35</v>
      </c>
      <c r="D2326" s="1">
        <f>IFERROR(__xludf.DUMMYFUNCTION("""COMPUTED_VALUE"""),33.67)</f>
        <v>33.67</v>
      </c>
      <c r="E2326" s="1">
        <f>IFERROR(__xludf.DUMMYFUNCTION("""COMPUTED_VALUE"""),33.91)</f>
        <v>33.91</v>
      </c>
      <c r="F2326" s="1">
        <f>IFERROR(__xludf.DUMMYFUNCTION("""COMPUTED_VALUE"""),754978.0)</f>
        <v>754978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IFERROR(__xludf.DUMMYFUNCTION("""COMPUTED_VALUE"""),34.31)</f>
        <v>34.31</v>
      </c>
      <c r="C2327" s="1">
        <f>IFERROR(__xludf.DUMMYFUNCTION("""COMPUTED_VALUE"""),34.9)</f>
        <v>34.9</v>
      </c>
      <c r="D2327" s="1">
        <f>IFERROR(__xludf.DUMMYFUNCTION("""COMPUTED_VALUE"""),34.24)</f>
        <v>34.24</v>
      </c>
      <c r="E2327" s="1">
        <f>IFERROR(__xludf.DUMMYFUNCTION("""COMPUTED_VALUE"""),34.8)</f>
        <v>34.8</v>
      </c>
      <c r="F2327" s="1">
        <f>IFERROR(__xludf.DUMMYFUNCTION("""COMPUTED_VALUE"""),742289.0)</f>
        <v>742289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IFERROR(__xludf.DUMMYFUNCTION("""COMPUTED_VALUE"""),34.81)</f>
        <v>34.81</v>
      </c>
      <c r="C2328" s="1">
        <f>IFERROR(__xludf.DUMMYFUNCTION("""COMPUTED_VALUE"""),35.08)</f>
        <v>35.08</v>
      </c>
      <c r="D2328" s="1">
        <f>IFERROR(__xludf.DUMMYFUNCTION("""COMPUTED_VALUE"""),34.5)</f>
        <v>34.5</v>
      </c>
      <c r="E2328" s="1">
        <f>IFERROR(__xludf.DUMMYFUNCTION("""COMPUTED_VALUE"""),34.62)</f>
        <v>34.62</v>
      </c>
      <c r="F2328" s="1">
        <f>IFERROR(__xludf.DUMMYFUNCTION("""COMPUTED_VALUE"""),345804.0)</f>
        <v>345804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IFERROR(__xludf.DUMMYFUNCTION("""COMPUTED_VALUE"""),35.04)</f>
        <v>35.04</v>
      </c>
      <c r="C2329" s="1">
        <f>IFERROR(__xludf.DUMMYFUNCTION("""COMPUTED_VALUE"""),35.21)</f>
        <v>35.21</v>
      </c>
      <c r="D2329" s="1">
        <f>IFERROR(__xludf.DUMMYFUNCTION("""COMPUTED_VALUE"""),34.59)</f>
        <v>34.59</v>
      </c>
      <c r="E2329" s="1">
        <f>IFERROR(__xludf.DUMMYFUNCTION("""COMPUTED_VALUE"""),34.69)</f>
        <v>34.69</v>
      </c>
      <c r="F2329" s="1">
        <f>IFERROR(__xludf.DUMMYFUNCTION("""COMPUTED_VALUE"""),644901.0)</f>
        <v>644901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IFERROR(__xludf.DUMMYFUNCTION("""COMPUTED_VALUE"""),34.76)</f>
        <v>34.76</v>
      </c>
      <c r="C2330" s="1">
        <f>IFERROR(__xludf.DUMMYFUNCTION("""COMPUTED_VALUE"""),35.38)</f>
        <v>35.38</v>
      </c>
      <c r="D2330" s="1">
        <f>IFERROR(__xludf.DUMMYFUNCTION("""COMPUTED_VALUE"""),34.69)</f>
        <v>34.69</v>
      </c>
      <c r="E2330" s="1">
        <f>IFERROR(__xludf.DUMMYFUNCTION("""COMPUTED_VALUE"""),35.3)</f>
        <v>35.3</v>
      </c>
      <c r="F2330" s="1">
        <f>IFERROR(__xludf.DUMMYFUNCTION("""COMPUTED_VALUE"""),489338.0)</f>
        <v>489338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IFERROR(__xludf.DUMMYFUNCTION("""COMPUTED_VALUE"""),35.31)</f>
        <v>35.31</v>
      </c>
      <c r="C2331" s="1">
        <f>IFERROR(__xludf.DUMMYFUNCTION("""COMPUTED_VALUE"""),35.63)</f>
        <v>35.63</v>
      </c>
      <c r="D2331" s="1">
        <f>IFERROR(__xludf.DUMMYFUNCTION("""COMPUTED_VALUE"""),35.07)</f>
        <v>35.07</v>
      </c>
      <c r="E2331" s="1">
        <f>IFERROR(__xludf.DUMMYFUNCTION("""COMPUTED_VALUE"""),35.36)</f>
        <v>35.36</v>
      </c>
      <c r="F2331" s="1">
        <f>IFERROR(__xludf.DUMMYFUNCTION("""COMPUTED_VALUE"""),377206.0)</f>
        <v>377206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IFERROR(__xludf.DUMMYFUNCTION("""COMPUTED_VALUE"""),35.39)</f>
        <v>35.39</v>
      </c>
      <c r="C2332" s="1">
        <f>IFERROR(__xludf.DUMMYFUNCTION("""COMPUTED_VALUE"""),35.7)</f>
        <v>35.7</v>
      </c>
      <c r="D2332" s="1">
        <f>IFERROR(__xludf.DUMMYFUNCTION("""COMPUTED_VALUE"""),35.14)</f>
        <v>35.14</v>
      </c>
      <c r="E2332" s="1">
        <f>IFERROR(__xludf.DUMMYFUNCTION("""COMPUTED_VALUE"""),35.31)</f>
        <v>35.31</v>
      </c>
      <c r="F2332" s="1">
        <f>IFERROR(__xludf.DUMMYFUNCTION("""COMPUTED_VALUE"""),368451.0)</f>
        <v>368451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IFERROR(__xludf.DUMMYFUNCTION("""COMPUTED_VALUE"""),35.2)</f>
        <v>35.2</v>
      </c>
      <c r="C2333" s="1">
        <f>IFERROR(__xludf.DUMMYFUNCTION("""COMPUTED_VALUE"""),35.25)</f>
        <v>35.25</v>
      </c>
      <c r="D2333" s="1">
        <f>IFERROR(__xludf.DUMMYFUNCTION("""COMPUTED_VALUE"""),34.66)</f>
        <v>34.66</v>
      </c>
      <c r="E2333" s="1">
        <f>IFERROR(__xludf.DUMMYFUNCTION("""COMPUTED_VALUE"""),34.8)</f>
        <v>34.8</v>
      </c>
      <c r="F2333" s="1">
        <f>IFERROR(__xludf.DUMMYFUNCTION("""COMPUTED_VALUE"""),270821.0)</f>
        <v>270821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IFERROR(__xludf.DUMMYFUNCTION("""COMPUTED_VALUE"""),34.85)</f>
        <v>34.85</v>
      </c>
      <c r="C2334" s="1">
        <f>IFERROR(__xludf.DUMMYFUNCTION("""COMPUTED_VALUE"""),35.4)</f>
        <v>35.4</v>
      </c>
      <c r="D2334" s="1">
        <f>IFERROR(__xludf.DUMMYFUNCTION("""COMPUTED_VALUE"""),34.58)</f>
        <v>34.58</v>
      </c>
      <c r="E2334" s="1">
        <f>IFERROR(__xludf.DUMMYFUNCTION("""COMPUTED_VALUE"""),35.39)</f>
        <v>35.39</v>
      </c>
      <c r="F2334" s="1">
        <f>IFERROR(__xludf.DUMMYFUNCTION("""COMPUTED_VALUE"""),391751.0)</f>
        <v>391751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IFERROR(__xludf.DUMMYFUNCTION("""COMPUTED_VALUE"""),35.6)</f>
        <v>35.6</v>
      </c>
      <c r="C2335" s="1">
        <f>IFERROR(__xludf.DUMMYFUNCTION("""COMPUTED_VALUE"""),35.86)</f>
        <v>35.86</v>
      </c>
      <c r="D2335" s="1">
        <f>IFERROR(__xludf.DUMMYFUNCTION("""COMPUTED_VALUE"""),35.23)</f>
        <v>35.23</v>
      </c>
      <c r="E2335" s="1">
        <f>IFERROR(__xludf.DUMMYFUNCTION("""COMPUTED_VALUE"""),35.45)</f>
        <v>35.45</v>
      </c>
      <c r="F2335" s="1">
        <f>IFERROR(__xludf.DUMMYFUNCTION("""COMPUTED_VALUE"""),358674.0)</f>
        <v>358674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IFERROR(__xludf.DUMMYFUNCTION("""COMPUTED_VALUE"""),35.8)</f>
        <v>35.8</v>
      </c>
      <c r="C2336" s="1">
        <f>IFERROR(__xludf.DUMMYFUNCTION("""COMPUTED_VALUE"""),36.3)</f>
        <v>36.3</v>
      </c>
      <c r="D2336" s="1">
        <f>IFERROR(__xludf.DUMMYFUNCTION("""COMPUTED_VALUE"""),35.42)</f>
        <v>35.42</v>
      </c>
      <c r="E2336" s="1">
        <f>IFERROR(__xludf.DUMMYFUNCTION("""COMPUTED_VALUE"""),36.17)</f>
        <v>36.17</v>
      </c>
      <c r="F2336" s="1">
        <f>IFERROR(__xludf.DUMMYFUNCTION("""COMPUTED_VALUE"""),411051.0)</f>
        <v>411051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IFERROR(__xludf.DUMMYFUNCTION("""COMPUTED_VALUE"""),36.12)</f>
        <v>36.12</v>
      </c>
      <c r="C2337" s="1">
        <f>IFERROR(__xludf.DUMMYFUNCTION("""COMPUTED_VALUE"""),36.28)</f>
        <v>36.28</v>
      </c>
      <c r="D2337" s="1">
        <f>IFERROR(__xludf.DUMMYFUNCTION("""COMPUTED_VALUE"""),35.36)</f>
        <v>35.36</v>
      </c>
      <c r="E2337" s="1">
        <f>IFERROR(__xludf.DUMMYFUNCTION("""COMPUTED_VALUE"""),35.43)</f>
        <v>35.43</v>
      </c>
      <c r="F2337" s="1">
        <f>IFERROR(__xludf.DUMMYFUNCTION("""COMPUTED_VALUE"""),219477.0)</f>
        <v>219477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IFERROR(__xludf.DUMMYFUNCTION("""COMPUTED_VALUE"""),35.44)</f>
        <v>35.44</v>
      </c>
      <c r="C2338" s="1">
        <f>IFERROR(__xludf.DUMMYFUNCTION("""COMPUTED_VALUE"""),36.25)</f>
        <v>36.25</v>
      </c>
      <c r="D2338" s="1">
        <f>IFERROR(__xludf.DUMMYFUNCTION("""COMPUTED_VALUE"""),35.34)</f>
        <v>35.34</v>
      </c>
      <c r="E2338" s="1">
        <f>IFERROR(__xludf.DUMMYFUNCTION("""COMPUTED_VALUE"""),36.22)</f>
        <v>36.22</v>
      </c>
      <c r="F2338" s="1">
        <f>IFERROR(__xludf.DUMMYFUNCTION("""COMPUTED_VALUE"""),346128.0)</f>
        <v>346128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IFERROR(__xludf.DUMMYFUNCTION("""COMPUTED_VALUE"""),36.3)</f>
        <v>36.3</v>
      </c>
      <c r="C2339" s="1">
        <f>IFERROR(__xludf.DUMMYFUNCTION("""COMPUTED_VALUE"""),36.54)</f>
        <v>36.54</v>
      </c>
      <c r="D2339" s="1">
        <f>IFERROR(__xludf.DUMMYFUNCTION("""COMPUTED_VALUE"""),35.89)</f>
        <v>35.89</v>
      </c>
      <c r="E2339" s="1">
        <f>IFERROR(__xludf.DUMMYFUNCTION("""COMPUTED_VALUE"""),36.44)</f>
        <v>36.44</v>
      </c>
      <c r="F2339" s="1">
        <f>IFERROR(__xludf.DUMMYFUNCTION("""COMPUTED_VALUE"""),514437.0)</f>
        <v>514437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IFERROR(__xludf.DUMMYFUNCTION("""COMPUTED_VALUE"""),35.8)</f>
        <v>35.8</v>
      </c>
      <c r="C2340" s="1">
        <f>IFERROR(__xludf.DUMMYFUNCTION("""COMPUTED_VALUE"""),36.31)</f>
        <v>36.31</v>
      </c>
      <c r="D2340" s="1">
        <f>IFERROR(__xludf.DUMMYFUNCTION("""COMPUTED_VALUE"""),35.39)</f>
        <v>35.39</v>
      </c>
      <c r="E2340" s="1">
        <f>IFERROR(__xludf.DUMMYFUNCTION("""COMPUTED_VALUE"""),35.57)</f>
        <v>35.57</v>
      </c>
      <c r="F2340" s="1">
        <f>IFERROR(__xludf.DUMMYFUNCTION("""COMPUTED_VALUE"""),700960.0)</f>
        <v>700960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IFERROR(__xludf.DUMMYFUNCTION("""COMPUTED_VALUE"""),35.52)</f>
        <v>35.52</v>
      </c>
      <c r="C2341" s="1">
        <f>IFERROR(__xludf.DUMMYFUNCTION("""COMPUTED_VALUE"""),35.77)</f>
        <v>35.77</v>
      </c>
      <c r="D2341" s="1">
        <f>IFERROR(__xludf.DUMMYFUNCTION("""COMPUTED_VALUE"""),34.99)</f>
        <v>34.99</v>
      </c>
      <c r="E2341" s="1">
        <f>IFERROR(__xludf.DUMMYFUNCTION("""COMPUTED_VALUE"""),35.11)</f>
        <v>35.11</v>
      </c>
      <c r="F2341" s="1">
        <f>IFERROR(__xludf.DUMMYFUNCTION("""COMPUTED_VALUE"""),397638.0)</f>
        <v>397638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IFERROR(__xludf.DUMMYFUNCTION("""COMPUTED_VALUE"""),35.15)</f>
        <v>35.15</v>
      </c>
      <c r="C2342" s="1">
        <f>IFERROR(__xludf.DUMMYFUNCTION("""COMPUTED_VALUE"""),36.19)</f>
        <v>36.19</v>
      </c>
      <c r="D2342" s="1">
        <f>IFERROR(__xludf.DUMMYFUNCTION("""COMPUTED_VALUE"""),35.09)</f>
        <v>35.09</v>
      </c>
      <c r="E2342" s="1">
        <f>IFERROR(__xludf.DUMMYFUNCTION("""COMPUTED_VALUE"""),36.15)</f>
        <v>36.15</v>
      </c>
      <c r="F2342" s="1">
        <f>IFERROR(__xludf.DUMMYFUNCTION("""COMPUTED_VALUE"""),360005.0)</f>
        <v>360005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IFERROR(__xludf.DUMMYFUNCTION("""COMPUTED_VALUE"""),36.03)</f>
        <v>36.03</v>
      </c>
      <c r="C2343" s="1">
        <f>IFERROR(__xludf.DUMMYFUNCTION("""COMPUTED_VALUE"""),36.23)</f>
        <v>36.23</v>
      </c>
      <c r="D2343" s="1">
        <f>IFERROR(__xludf.DUMMYFUNCTION("""COMPUTED_VALUE"""),35.75)</f>
        <v>35.75</v>
      </c>
      <c r="E2343" s="1">
        <f>IFERROR(__xludf.DUMMYFUNCTION("""COMPUTED_VALUE"""),35.95)</f>
        <v>35.95</v>
      </c>
      <c r="F2343" s="1">
        <f>IFERROR(__xludf.DUMMYFUNCTION("""COMPUTED_VALUE"""),458940.0)</f>
        <v>458940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IFERROR(__xludf.DUMMYFUNCTION("""COMPUTED_VALUE"""),35.91)</f>
        <v>35.91</v>
      </c>
      <c r="C2344" s="1">
        <f>IFERROR(__xludf.DUMMYFUNCTION("""COMPUTED_VALUE"""),36.27)</f>
        <v>36.27</v>
      </c>
      <c r="D2344" s="1">
        <f>IFERROR(__xludf.DUMMYFUNCTION("""COMPUTED_VALUE"""),35.53)</f>
        <v>35.53</v>
      </c>
      <c r="E2344" s="1">
        <f>IFERROR(__xludf.DUMMYFUNCTION("""COMPUTED_VALUE"""),36.02)</f>
        <v>36.02</v>
      </c>
      <c r="F2344" s="1">
        <f>IFERROR(__xludf.DUMMYFUNCTION("""COMPUTED_VALUE"""),333638.0)</f>
        <v>333638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IFERROR(__xludf.DUMMYFUNCTION("""COMPUTED_VALUE"""),36.02)</f>
        <v>36.02</v>
      </c>
      <c r="C2345" s="1">
        <f>IFERROR(__xludf.DUMMYFUNCTION("""COMPUTED_VALUE"""),36.47)</f>
        <v>36.47</v>
      </c>
      <c r="D2345" s="1">
        <f>IFERROR(__xludf.DUMMYFUNCTION("""COMPUTED_VALUE"""),35.94)</f>
        <v>35.94</v>
      </c>
      <c r="E2345" s="1">
        <f>IFERROR(__xludf.DUMMYFUNCTION("""COMPUTED_VALUE"""),36.47)</f>
        <v>36.47</v>
      </c>
      <c r="F2345" s="1">
        <f>IFERROR(__xludf.DUMMYFUNCTION("""COMPUTED_VALUE"""),192299.0)</f>
        <v>192299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IFERROR(__xludf.DUMMYFUNCTION("""COMPUTED_VALUE"""),36.59)</f>
        <v>36.59</v>
      </c>
      <c r="C2346" s="1">
        <f>IFERROR(__xludf.DUMMYFUNCTION("""COMPUTED_VALUE"""),37.12)</f>
        <v>37.12</v>
      </c>
      <c r="D2346" s="1">
        <f>IFERROR(__xludf.DUMMYFUNCTION("""COMPUTED_VALUE"""),36.36)</f>
        <v>36.36</v>
      </c>
      <c r="E2346" s="1">
        <f>IFERROR(__xludf.DUMMYFUNCTION("""COMPUTED_VALUE"""),37.02)</f>
        <v>37.02</v>
      </c>
      <c r="F2346" s="1">
        <f>IFERROR(__xludf.DUMMYFUNCTION("""COMPUTED_VALUE"""),284907.0)</f>
        <v>284907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IFERROR(__xludf.DUMMYFUNCTION("""COMPUTED_VALUE"""),37.09)</f>
        <v>37.09</v>
      </c>
      <c r="C2347" s="1">
        <f>IFERROR(__xludf.DUMMYFUNCTION("""COMPUTED_VALUE"""),37.18)</f>
        <v>37.18</v>
      </c>
      <c r="D2347" s="1">
        <f>IFERROR(__xludf.DUMMYFUNCTION("""COMPUTED_VALUE"""),36.68)</f>
        <v>36.68</v>
      </c>
      <c r="E2347" s="1">
        <f>IFERROR(__xludf.DUMMYFUNCTION("""COMPUTED_VALUE"""),36.79)</f>
        <v>36.79</v>
      </c>
      <c r="F2347" s="1">
        <f>IFERROR(__xludf.DUMMYFUNCTION("""COMPUTED_VALUE"""),424066.0)</f>
        <v>424066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IFERROR(__xludf.DUMMYFUNCTION("""COMPUTED_VALUE"""),36.81)</f>
        <v>36.81</v>
      </c>
      <c r="C2348" s="1">
        <f>IFERROR(__xludf.DUMMYFUNCTION("""COMPUTED_VALUE"""),37.08)</f>
        <v>37.08</v>
      </c>
      <c r="D2348" s="1">
        <f>IFERROR(__xludf.DUMMYFUNCTION("""COMPUTED_VALUE"""),36.45)</f>
        <v>36.45</v>
      </c>
      <c r="E2348" s="1">
        <f>IFERROR(__xludf.DUMMYFUNCTION("""COMPUTED_VALUE"""),36.58)</f>
        <v>36.58</v>
      </c>
      <c r="F2348" s="1">
        <f>IFERROR(__xludf.DUMMYFUNCTION("""COMPUTED_VALUE"""),511927.0)</f>
        <v>511927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IFERROR(__xludf.DUMMYFUNCTION("""COMPUTED_VALUE"""),36.65)</f>
        <v>36.65</v>
      </c>
      <c r="C2349" s="1">
        <f>IFERROR(__xludf.DUMMYFUNCTION("""COMPUTED_VALUE"""),37.11)</f>
        <v>37.11</v>
      </c>
      <c r="D2349" s="1">
        <f>IFERROR(__xludf.DUMMYFUNCTION("""COMPUTED_VALUE"""),36.52)</f>
        <v>36.52</v>
      </c>
      <c r="E2349" s="1">
        <f>IFERROR(__xludf.DUMMYFUNCTION("""COMPUTED_VALUE"""),36.93)</f>
        <v>36.93</v>
      </c>
      <c r="F2349" s="1">
        <f>IFERROR(__xludf.DUMMYFUNCTION("""COMPUTED_VALUE"""),290421.0)</f>
        <v>290421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IFERROR(__xludf.DUMMYFUNCTION("""COMPUTED_VALUE"""),37.06)</f>
        <v>37.06</v>
      </c>
      <c r="C2350" s="1">
        <f>IFERROR(__xludf.DUMMYFUNCTION("""COMPUTED_VALUE"""),37.56)</f>
        <v>37.56</v>
      </c>
      <c r="D2350" s="1">
        <f>IFERROR(__xludf.DUMMYFUNCTION("""COMPUTED_VALUE"""),36.88)</f>
        <v>36.88</v>
      </c>
      <c r="E2350" s="1">
        <f>IFERROR(__xludf.DUMMYFUNCTION("""COMPUTED_VALUE"""),37.54)</f>
        <v>37.54</v>
      </c>
      <c r="F2350" s="1">
        <f>IFERROR(__xludf.DUMMYFUNCTION("""COMPUTED_VALUE"""),234908.0)</f>
        <v>234908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IFERROR(__xludf.DUMMYFUNCTION("""COMPUTED_VALUE"""),36.91)</f>
        <v>36.91</v>
      </c>
      <c r="C2351" s="1">
        <f>IFERROR(__xludf.DUMMYFUNCTION("""COMPUTED_VALUE"""),37.51)</f>
        <v>37.51</v>
      </c>
      <c r="D2351" s="1">
        <f>IFERROR(__xludf.DUMMYFUNCTION("""COMPUTED_VALUE"""),36.8)</f>
        <v>36.8</v>
      </c>
      <c r="E2351" s="1">
        <f>IFERROR(__xludf.DUMMYFUNCTION("""COMPUTED_VALUE"""),37.37)</f>
        <v>37.37</v>
      </c>
      <c r="F2351" s="1">
        <f>IFERROR(__xludf.DUMMYFUNCTION("""COMPUTED_VALUE"""),300234.0)</f>
        <v>300234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IFERROR(__xludf.DUMMYFUNCTION("""COMPUTED_VALUE"""),36.93)</f>
        <v>36.93</v>
      </c>
      <c r="C2352" s="1">
        <f>IFERROR(__xludf.DUMMYFUNCTION("""COMPUTED_VALUE"""),37.15)</f>
        <v>37.15</v>
      </c>
      <c r="D2352" s="1">
        <f>IFERROR(__xludf.DUMMYFUNCTION("""COMPUTED_VALUE"""),36.78)</f>
        <v>36.78</v>
      </c>
      <c r="E2352" s="1">
        <f>IFERROR(__xludf.DUMMYFUNCTION("""COMPUTED_VALUE"""),37.0)</f>
        <v>37</v>
      </c>
      <c r="F2352" s="1">
        <f>IFERROR(__xludf.DUMMYFUNCTION("""COMPUTED_VALUE"""),360654.0)</f>
        <v>360654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IFERROR(__xludf.DUMMYFUNCTION("""COMPUTED_VALUE"""),36.58)</f>
        <v>36.58</v>
      </c>
      <c r="C2353" s="1">
        <f>IFERROR(__xludf.DUMMYFUNCTION("""COMPUTED_VALUE"""),37.37)</f>
        <v>37.37</v>
      </c>
      <c r="D2353" s="1">
        <f>IFERROR(__xludf.DUMMYFUNCTION("""COMPUTED_VALUE"""),36.58)</f>
        <v>36.58</v>
      </c>
      <c r="E2353" s="1">
        <f>IFERROR(__xludf.DUMMYFUNCTION("""COMPUTED_VALUE"""),36.87)</f>
        <v>36.87</v>
      </c>
      <c r="F2353" s="1">
        <f>IFERROR(__xludf.DUMMYFUNCTION("""COMPUTED_VALUE"""),430084.0)</f>
        <v>430084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IFERROR(__xludf.DUMMYFUNCTION("""COMPUTED_VALUE"""),36.46)</f>
        <v>36.46</v>
      </c>
      <c r="C2354" s="1">
        <f>IFERROR(__xludf.DUMMYFUNCTION("""COMPUTED_VALUE"""),37.05)</f>
        <v>37.05</v>
      </c>
      <c r="D2354" s="1">
        <f>IFERROR(__xludf.DUMMYFUNCTION("""COMPUTED_VALUE"""),36.33)</f>
        <v>36.33</v>
      </c>
      <c r="E2354" s="1">
        <f>IFERROR(__xludf.DUMMYFUNCTION("""COMPUTED_VALUE"""),36.91)</f>
        <v>36.91</v>
      </c>
      <c r="F2354" s="1">
        <f>IFERROR(__xludf.DUMMYFUNCTION("""COMPUTED_VALUE"""),384928.0)</f>
        <v>384928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IFERROR(__xludf.DUMMYFUNCTION("""COMPUTED_VALUE"""),36.79)</f>
        <v>36.79</v>
      </c>
      <c r="C2355" s="1">
        <f>IFERROR(__xludf.DUMMYFUNCTION("""COMPUTED_VALUE"""),37.22)</f>
        <v>37.22</v>
      </c>
      <c r="D2355" s="1">
        <f>IFERROR(__xludf.DUMMYFUNCTION("""COMPUTED_VALUE"""),36.46)</f>
        <v>36.46</v>
      </c>
      <c r="E2355" s="1">
        <f>IFERROR(__xludf.DUMMYFUNCTION("""COMPUTED_VALUE"""),37.2)</f>
        <v>37.2</v>
      </c>
      <c r="F2355" s="1">
        <f>IFERROR(__xludf.DUMMYFUNCTION("""COMPUTED_VALUE"""),473294.0)</f>
        <v>473294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IFERROR(__xludf.DUMMYFUNCTION("""COMPUTED_VALUE"""),36.51)</f>
        <v>36.51</v>
      </c>
      <c r="C2356" s="1">
        <f>IFERROR(__xludf.DUMMYFUNCTION("""COMPUTED_VALUE"""),36.75)</f>
        <v>36.75</v>
      </c>
      <c r="D2356" s="1">
        <f>IFERROR(__xludf.DUMMYFUNCTION("""COMPUTED_VALUE"""),35.53)</f>
        <v>35.53</v>
      </c>
      <c r="E2356" s="1">
        <f>IFERROR(__xludf.DUMMYFUNCTION("""COMPUTED_VALUE"""),35.61)</f>
        <v>35.61</v>
      </c>
      <c r="F2356" s="1">
        <f>IFERROR(__xludf.DUMMYFUNCTION("""COMPUTED_VALUE"""),838758.0)</f>
        <v>838758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IFERROR(__xludf.DUMMYFUNCTION("""COMPUTED_VALUE"""),35.57)</f>
        <v>35.57</v>
      </c>
      <c r="C2357" s="1">
        <f>IFERROR(__xludf.DUMMYFUNCTION("""COMPUTED_VALUE"""),36.58)</f>
        <v>36.58</v>
      </c>
      <c r="D2357" s="1">
        <f>IFERROR(__xludf.DUMMYFUNCTION("""COMPUTED_VALUE"""),35.56)</f>
        <v>35.56</v>
      </c>
      <c r="E2357" s="1">
        <f>IFERROR(__xludf.DUMMYFUNCTION("""COMPUTED_VALUE"""),36.34)</f>
        <v>36.34</v>
      </c>
      <c r="F2357" s="1">
        <f>IFERROR(__xludf.DUMMYFUNCTION("""COMPUTED_VALUE"""),398303.0)</f>
        <v>398303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IFERROR(__xludf.DUMMYFUNCTION("""COMPUTED_VALUE"""),35.95)</f>
        <v>35.95</v>
      </c>
      <c r="C2358" s="1">
        <f>IFERROR(__xludf.DUMMYFUNCTION("""COMPUTED_VALUE"""),35.97)</f>
        <v>35.97</v>
      </c>
      <c r="D2358" s="1">
        <f>IFERROR(__xludf.DUMMYFUNCTION("""COMPUTED_VALUE"""),35.31)</f>
        <v>35.31</v>
      </c>
      <c r="E2358" s="1">
        <f>IFERROR(__xludf.DUMMYFUNCTION("""COMPUTED_VALUE"""),35.79)</f>
        <v>35.79</v>
      </c>
      <c r="F2358" s="1">
        <f>IFERROR(__xludf.DUMMYFUNCTION("""COMPUTED_VALUE"""),419333.0)</f>
        <v>419333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IFERROR(__xludf.DUMMYFUNCTION("""COMPUTED_VALUE"""),35.76)</f>
        <v>35.76</v>
      </c>
      <c r="C2359" s="1">
        <f>IFERROR(__xludf.DUMMYFUNCTION("""COMPUTED_VALUE"""),36.65)</f>
        <v>36.65</v>
      </c>
      <c r="D2359" s="1">
        <f>IFERROR(__xludf.DUMMYFUNCTION("""COMPUTED_VALUE"""),35.76)</f>
        <v>35.76</v>
      </c>
      <c r="E2359" s="1">
        <f>IFERROR(__xludf.DUMMYFUNCTION("""COMPUTED_VALUE"""),36.5)</f>
        <v>36.5</v>
      </c>
      <c r="F2359" s="1">
        <f>IFERROR(__xludf.DUMMYFUNCTION("""COMPUTED_VALUE"""),379610.0)</f>
        <v>379610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IFERROR(__xludf.DUMMYFUNCTION("""COMPUTED_VALUE"""),36.22)</f>
        <v>36.22</v>
      </c>
      <c r="C2360" s="1">
        <f>IFERROR(__xludf.DUMMYFUNCTION("""COMPUTED_VALUE"""),36.84)</f>
        <v>36.84</v>
      </c>
      <c r="D2360" s="1">
        <f>IFERROR(__xludf.DUMMYFUNCTION("""COMPUTED_VALUE"""),36.17)</f>
        <v>36.17</v>
      </c>
      <c r="E2360" s="1">
        <f>IFERROR(__xludf.DUMMYFUNCTION("""COMPUTED_VALUE"""),36.18)</f>
        <v>36.18</v>
      </c>
      <c r="F2360" s="1">
        <f>IFERROR(__xludf.DUMMYFUNCTION("""COMPUTED_VALUE"""),461358.0)</f>
        <v>461358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IFERROR(__xludf.DUMMYFUNCTION("""COMPUTED_VALUE"""),36.08)</f>
        <v>36.08</v>
      </c>
      <c r="C2361" s="1">
        <f>IFERROR(__xludf.DUMMYFUNCTION("""COMPUTED_VALUE"""),36.52)</f>
        <v>36.52</v>
      </c>
      <c r="D2361" s="1">
        <f>IFERROR(__xludf.DUMMYFUNCTION("""COMPUTED_VALUE"""),36.08)</f>
        <v>36.08</v>
      </c>
      <c r="E2361" s="1">
        <f>IFERROR(__xludf.DUMMYFUNCTION("""COMPUTED_VALUE"""),36.33)</f>
        <v>36.33</v>
      </c>
      <c r="F2361" s="1">
        <f>IFERROR(__xludf.DUMMYFUNCTION("""COMPUTED_VALUE"""),259404.0)</f>
        <v>259404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IFERROR(__xludf.DUMMYFUNCTION("""COMPUTED_VALUE"""),36.52)</f>
        <v>36.52</v>
      </c>
      <c r="C2362" s="1">
        <f>IFERROR(__xludf.DUMMYFUNCTION("""COMPUTED_VALUE"""),36.78)</f>
        <v>36.78</v>
      </c>
      <c r="D2362" s="1">
        <f>IFERROR(__xludf.DUMMYFUNCTION("""COMPUTED_VALUE"""),36.33)</f>
        <v>36.33</v>
      </c>
      <c r="E2362" s="1">
        <f>IFERROR(__xludf.DUMMYFUNCTION("""COMPUTED_VALUE"""),36.48)</f>
        <v>36.48</v>
      </c>
      <c r="F2362" s="1">
        <f>IFERROR(__xludf.DUMMYFUNCTION("""COMPUTED_VALUE"""),270978.0)</f>
        <v>270978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IFERROR(__xludf.DUMMYFUNCTION("""COMPUTED_VALUE"""),36.37)</f>
        <v>36.37</v>
      </c>
      <c r="C2363" s="1">
        <f>IFERROR(__xludf.DUMMYFUNCTION("""COMPUTED_VALUE"""),36.54)</f>
        <v>36.54</v>
      </c>
      <c r="D2363" s="1">
        <f>IFERROR(__xludf.DUMMYFUNCTION("""COMPUTED_VALUE"""),35.93)</f>
        <v>35.93</v>
      </c>
      <c r="E2363" s="1">
        <f>IFERROR(__xludf.DUMMYFUNCTION("""COMPUTED_VALUE"""),36.0)</f>
        <v>36</v>
      </c>
      <c r="F2363" s="1">
        <f>IFERROR(__xludf.DUMMYFUNCTION("""COMPUTED_VALUE"""),174195.0)</f>
        <v>174195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IFERROR(__xludf.DUMMYFUNCTION("""COMPUTED_VALUE"""),35.62)</f>
        <v>35.62</v>
      </c>
      <c r="C2364" s="1">
        <f>IFERROR(__xludf.DUMMYFUNCTION("""COMPUTED_VALUE"""),35.62)</f>
        <v>35.62</v>
      </c>
      <c r="D2364" s="1">
        <f>IFERROR(__xludf.DUMMYFUNCTION("""COMPUTED_VALUE"""),34.63)</f>
        <v>34.63</v>
      </c>
      <c r="E2364" s="1">
        <f>IFERROR(__xludf.DUMMYFUNCTION("""COMPUTED_VALUE"""),34.91)</f>
        <v>34.91</v>
      </c>
      <c r="F2364" s="1">
        <f>IFERROR(__xludf.DUMMYFUNCTION("""COMPUTED_VALUE"""),337398.0)</f>
        <v>337398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IFERROR(__xludf.DUMMYFUNCTION("""COMPUTED_VALUE"""),35.12)</f>
        <v>35.12</v>
      </c>
      <c r="C2365" s="1">
        <f>IFERROR(__xludf.DUMMYFUNCTION("""COMPUTED_VALUE"""),35.45)</f>
        <v>35.45</v>
      </c>
      <c r="D2365" s="1">
        <f>IFERROR(__xludf.DUMMYFUNCTION("""COMPUTED_VALUE"""),35.08)</f>
        <v>35.08</v>
      </c>
      <c r="E2365" s="1">
        <f>IFERROR(__xludf.DUMMYFUNCTION("""COMPUTED_VALUE"""),35.29)</f>
        <v>35.29</v>
      </c>
      <c r="F2365" s="1">
        <f>IFERROR(__xludf.DUMMYFUNCTION("""COMPUTED_VALUE"""),490782.0)</f>
        <v>490782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IFERROR(__xludf.DUMMYFUNCTION("""COMPUTED_VALUE"""),35.25)</f>
        <v>35.25</v>
      </c>
      <c r="C2366" s="1">
        <f>IFERROR(__xludf.DUMMYFUNCTION("""COMPUTED_VALUE"""),35.55)</f>
        <v>35.55</v>
      </c>
      <c r="D2366" s="1">
        <f>IFERROR(__xludf.DUMMYFUNCTION("""COMPUTED_VALUE"""),34.69)</f>
        <v>34.69</v>
      </c>
      <c r="E2366" s="1">
        <f>IFERROR(__xludf.DUMMYFUNCTION("""COMPUTED_VALUE"""),34.83)</f>
        <v>34.83</v>
      </c>
      <c r="F2366" s="1">
        <f>IFERROR(__xludf.DUMMYFUNCTION("""COMPUTED_VALUE"""),459861.0)</f>
        <v>459861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IFERROR(__xludf.DUMMYFUNCTION("""COMPUTED_VALUE"""),34.63)</f>
        <v>34.63</v>
      </c>
      <c r="C2367" s="1">
        <f>IFERROR(__xludf.DUMMYFUNCTION("""COMPUTED_VALUE"""),35.35)</f>
        <v>35.35</v>
      </c>
      <c r="D2367" s="1">
        <f>IFERROR(__xludf.DUMMYFUNCTION("""COMPUTED_VALUE"""),34.41)</f>
        <v>34.41</v>
      </c>
      <c r="E2367" s="1">
        <f>IFERROR(__xludf.DUMMYFUNCTION("""COMPUTED_VALUE"""),35.26)</f>
        <v>35.26</v>
      </c>
      <c r="F2367" s="1">
        <f>IFERROR(__xludf.DUMMYFUNCTION("""COMPUTED_VALUE"""),395821.0)</f>
        <v>395821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IFERROR(__xludf.DUMMYFUNCTION("""COMPUTED_VALUE"""),35.31)</f>
        <v>35.31</v>
      </c>
      <c r="C2368" s="1">
        <f>IFERROR(__xludf.DUMMYFUNCTION("""COMPUTED_VALUE"""),35.51)</f>
        <v>35.51</v>
      </c>
      <c r="D2368" s="1">
        <f>IFERROR(__xludf.DUMMYFUNCTION("""COMPUTED_VALUE"""),34.24)</f>
        <v>34.24</v>
      </c>
      <c r="E2368" s="1">
        <f>IFERROR(__xludf.DUMMYFUNCTION("""COMPUTED_VALUE"""),34.64)</f>
        <v>34.64</v>
      </c>
      <c r="F2368" s="1">
        <f>IFERROR(__xludf.DUMMYFUNCTION("""COMPUTED_VALUE"""),412888.0)</f>
        <v>412888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IFERROR(__xludf.DUMMYFUNCTION("""COMPUTED_VALUE"""),33.95)</f>
        <v>33.95</v>
      </c>
      <c r="C2369" s="1">
        <f>IFERROR(__xludf.DUMMYFUNCTION("""COMPUTED_VALUE"""),34.15)</f>
        <v>34.15</v>
      </c>
      <c r="D2369" s="1">
        <f>IFERROR(__xludf.DUMMYFUNCTION("""COMPUTED_VALUE"""),33.34)</f>
        <v>33.34</v>
      </c>
      <c r="E2369" s="1">
        <f>IFERROR(__xludf.DUMMYFUNCTION("""COMPUTED_VALUE"""),33.64)</f>
        <v>33.64</v>
      </c>
      <c r="F2369" s="1">
        <f>IFERROR(__xludf.DUMMYFUNCTION("""COMPUTED_VALUE"""),576057.0)</f>
        <v>576057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IFERROR(__xludf.DUMMYFUNCTION("""COMPUTED_VALUE"""),33.59)</f>
        <v>33.59</v>
      </c>
      <c r="C2370" s="1">
        <f>IFERROR(__xludf.DUMMYFUNCTION("""COMPUTED_VALUE"""),34.63)</f>
        <v>34.63</v>
      </c>
      <c r="D2370" s="1">
        <f>IFERROR(__xludf.DUMMYFUNCTION("""COMPUTED_VALUE"""),33.55)</f>
        <v>33.55</v>
      </c>
      <c r="E2370" s="1">
        <f>IFERROR(__xludf.DUMMYFUNCTION("""COMPUTED_VALUE"""),34.33)</f>
        <v>34.33</v>
      </c>
      <c r="F2370" s="1">
        <f>IFERROR(__xludf.DUMMYFUNCTION("""COMPUTED_VALUE"""),488106.0)</f>
        <v>488106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IFERROR(__xludf.DUMMYFUNCTION("""COMPUTED_VALUE"""),34.85)</f>
        <v>34.85</v>
      </c>
      <c r="C2371" s="1">
        <f>IFERROR(__xludf.DUMMYFUNCTION("""COMPUTED_VALUE"""),35.22)</f>
        <v>35.22</v>
      </c>
      <c r="D2371" s="1">
        <f>IFERROR(__xludf.DUMMYFUNCTION("""COMPUTED_VALUE"""),34.66)</f>
        <v>34.66</v>
      </c>
      <c r="E2371" s="1">
        <f>IFERROR(__xludf.DUMMYFUNCTION("""COMPUTED_VALUE"""),35.0)</f>
        <v>35</v>
      </c>
      <c r="F2371" s="1">
        <f>IFERROR(__xludf.DUMMYFUNCTION("""COMPUTED_VALUE"""),648700.0)</f>
        <v>648700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IFERROR(__xludf.DUMMYFUNCTION("""COMPUTED_VALUE"""),34.96)</f>
        <v>34.96</v>
      </c>
      <c r="C2372" s="1">
        <f>IFERROR(__xludf.DUMMYFUNCTION("""COMPUTED_VALUE"""),35.03)</f>
        <v>35.03</v>
      </c>
      <c r="D2372" s="1">
        <f>IFERROR(__xludf.DUMMYFUNCTION("""COMPUTED_VALUE"""),34.29)</f>
        <v>34.29</v>
      </c>
      <c r="E2372" s="1">
        <f>IFERROR(__xludf.DUMMYFUNCTION("""COMPUTED_VALUE"""),34.62)</f>
        <v>34.62</v>
      </c>
      <c r="F2372" s="1">
        <f>IFERROR(__xludf.DUMMYFUNCTION("""COMPUTED_VALUE"""),366872.0)</f>
        <v>366872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IFERROR(__xludf.DUMMYFUNCTION("""COMPUTED_VALUE"""),34.62)</f>
        <v>34.62</v>
      </c>
      <c r="C2373" s="1">
        <f>IFERROR(__xludf.DUMMYFUNCTION("""COMPUTED_VALUE"""),34.96)</f>
        <v>34.96</v>
      </c>
      <c r="D2373" s="1">
        <f>IFERROR(__xludf.DUMMYFUNCTION("""COMPUTED_VALUE"""),34.23)</f>
        <v>34.23</v>
      </c>
      <c r="E2373" s="1">
        <f>IFERROR(__xludf.DUMMYFUNCTION("""COMPUTED_VALUE"""),34.83)</f>
        <v>34.83</v>
      </c>
      <c r="F2373" s="1">
        <f>IFERROR(__xludf.DUMMYFUNCTION("""COMPUTED_VALUE"""),316488.0)</f>
        <v>316488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IFERROR(__xludf.DUMMYFUNCTION("""COMPUTED_VALUE"""),34.76)</f>
        <v>34.76</v>
      </c>
      <c r="C2374" s="1">
        <f>IFERROR(__xludf.DUMMYFUNCTION("""COMPUTED_VALUE"""),34.9)</f>
        <v>34.9</v>
      </c>
      <c r="D2374" s="1">
        <f>IFERROR(__xludf.DUMMYFUNCTION("""COMPUTED_VALUE"""),34.47)</f>
        <v>34.47</v>
      </c>
      <c r="E2374" s="1">
        <f>IFERROR(__xludf.DUMMYFUNCTION("""COMPUTED_VALUE"""),34.59)</f>
        <v>34.59</v>
      </c>
      <c r="F2374" s="1">
        <f>IFERROR(__xludf.DUMMYFUNCTION("""COMPUTED_VALUE"""),371103.0)</f>
        <v>371103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IFERROR(__xludf.DUMMYFUNCTION("""COMPUTED_VALUE"""),34.8)</f>
        <v>34.8</v>
      </c>
      <c r="C2375" s="1">
        <f>IFERROR(__xludf.DUMMYFUNCTION("""COMPUTED_VALUE"""),35.29)</f>
        <v>35.29</v>
      </c>
      <c r="D2375" s="1">
        <f>IFERROR(__xludf.DUMMYFUNCTION("""COMPUTED_VALUE"""),34.5)</f>
        <v>34.5</v>
      </c>
      <c r="E2375" s="1">
        <f>IFERROR(__xludf.DUMMYFUNCTION("""COMPUTED_VALUE"""),34.77)</f>
        <v>34.77</v>
      </c>
      <c r="F2375" s="1">
        <f>IFERROR(__xludf.DUMMYFUNCTION("""COMPUTED_VALUE"""),350518.0)</f>
        <v>350518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IFERROR(__xludf.DUMMYFUNCTION("""COMPUTED_VALUE"""),35.02)</f>
        <v>35.02</v>
      </c>
      <c r="C2376" s="1">
        <f>IFERROR(__xludf.DUMMYFUNCTION("""COMPUTED_VALUE"""),35.24)</f>
        <v>35.24</v>
      </c>
      <c r="D2376" s="1">
        <f>IFERROR(__xludf.DUMMYFUNCTION("""COMPUTED_VALUE"""),34.65)</f>
        <v>34.65</v>
      </c>
      <c r="E2376" s="1">
        <f>IFERROR(__xludf.DUMMYFUNCTION("""COMPUTED_VALUE"""),34.84)</f>
        <v>34.84</v>
      </c>
      <c r="F2376" s="1">
        <f>IFERROR(__xludf.DUMMYFUNCTION("""COMPUTED_VALUE"""),212585.0)</f>
        <v>212585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IFERROR(__xludf.DUMMYFUNCTION("""COMPUTED_VALUE"""),34.61)</f>
        <v>34.61</v>
      </c>
      <c r="C2377" s="1">
        <f>IFERROR(__xludf.DUMMYFUNCTION("""COMPUTED_VALUE"""),34.97)</f>
        <v>34.97</v>
      </c>
      <c r="D2377" s="1">
        <f>IFERROR(__xludf.DUMMYFUNCTION("""COMPUTED_VALUE"""),34.27)</f>
        <v>34.27</v>
      </c>
      <c r="E2377" s="1">
        <f>IFERROR(__xludf.DUMMYFUNCTION("""COMPUTED_VALUE"""),34.59)</f>
        <v>34.59</v>
      </c>
      <c r="F2377" s="1">
        <f>IFERROR(__xludf.DUMMYFUNCTION("""COMPUTED_VALUE"""),260792.0)</f>
        <v>260792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IFERROR(__xludf.DUMMYFUNCTION("""COMPUTED_VALUE"""),34.78)</f>
        <v>34.78</v>
      </c>
      <c r="C2378" s="1">
        <f>IFERROR(__xludf.DUMMYFUNCTION("""COMPUTED_VALUE"""),35.01)</f>
        <v>35.01</v>
      </c>
      <c r="D2378" s="1">
        <f>IFERROR(__xludf.DUMMYFUNCTION("""COMPUTED_VALUE"""),34.38)</f>
        <v>34.38</v>
      </c>
      <c r="E2378" s="1">
        <f>IFERROR(__xludf.DUMMYFUNCTION("""COMPUTED_VALUE"""),34.72)</f>
        <v>34.72</v>
      </c>
      <c r="F2378" s="1">
        <f>IFERROR(__xludf.DUMMYFUNCTION("""COMPUTED_VALUE"""),258889.0)</f>
        <v>258889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IFERROR(__xludf.DUMMYFUNCTION("""COMPUTED_VALUE"""),34.59)</f>
        <v>34.59</v>
      </c>
      <c r="C2379" s="1">
        <f>IFERROR(__xludf.DUMMYFUNCTION("""COMPUTED_VALUE"""),34.74)</f>
        <v>34.74</v>
      </c>
      <c r="D2379" s="1">
        <f>IFERROR(__xludf.DUMMYFUNCTION("""COMPUTED_VALUE"""),34.24)</f>
        <v>34.24</v>
      </c>
      <c r="E2379" s="1">
        <f>IFERROR(__xludf.DUMMYFUNCTION("""COMPUTED_VALUE"""),34.57)</f>
        <v>34.57</v>
      </c>
      <c r="F2379" s="1">
        <f>IFERROR(__xludf.DUMMYFUNCTION("""COMPUTED_VALUE"""),339525.0)</f>
        <v>339525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IFERROR(__xludf.DUMMYFUNCTION("""COMPUTED_VALUE"""),34.53)</f>
        <v>34.53</v>
      </c>
      <c r="C2380" s="1">
        <f>IFERROR(__xludf.DUMMYFUNCTION("""COMPUTED_VALUE"""),34.7)</f>
        <v>34.7</v>
      </c>
      <c r="D2380" s="1">
        <f>IFERROR(__xludf.DUMMYFUNCTION("""COMPUTED_VALUE"""),34.04)</f>
        <v>34.04</v>
      </c>
      <c r="E2380" s="1">
        <f>IFERROR(__xludf.DUMMYFUNCTION("""COMPUTED_VALUE"""),34.13)</f>
        <v>34.13</v>
      </c>
      <c r="F2380" s="1">
        <f>IFERROR(__xludf.DUMMYFUNCTION("""COMPUTED_VALUE"""),327093.0)</f>
        <v>327093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IFERROR(__xludf.DUMMYFUNCTION("""COMPUTED_VALUE"""),34.11)</f>
        <v>34.11</v>
      </c>
      <c r="C2381" s="1">
        <f>IFERROR(__xludf.DUMMYFUNCTION("""COMPUTED_VALUE"""),34.87)</f>
        <v>34.87</v>
      </c>
      <c r="D2381" s="1">
        <f>IFERROR(__xludf.DUMMYFUNCTION("""COMPUTED_VALUE"""),34.1)</f>
        <v>34.1</v>
      </c>
      <c r="E2381" s="1">
        <f>IFERROR(__xludf.DUMMYFUNCTION("""COMPUTED_VALUE"""),34.62)</f>
        <v>34.62</v>
      </c>
      <c r="F2381" s="1">
        <f>IFERROR(__xludf.DUMMYFUNCTION("""COMPUTED_VALUE"""),384247.0)</f>
        <v>384247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IFERROR(__xludf.DUMMYFUNCTION("""COMPUTED_VALUE"""),34.64)</f>
        <v>34.64</v>
      </c>
      <c r="C2382" s="1">
        <f>IFERROR(__xludf.DUMMYFUNCTION("""COMPUTED_VALUE"""),34.92)</f>
        <v>34.92</v>
      </c>
      <c r="D2382" s="1">
        <f>IFERROR(__xludf.DUMMYFUNCTION("""COMPUTED_VALUE"""),34.34)</f>
        <v>34.34</v>
      </c>
      <c r="E2382" s="1">
        <f>IFERROR(__xludf.DUMMYFUNCTION("""COMPUTED_VALUE"""),34.46)</f>
        <v>34.46</v>
      </c>
      <c r="F2382" s="1">
        <f>IFERROR(__xludf.DUMMYFUNCTION("""COMPUTED_VALUE"""),294504.0)</f>
        <v>294504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IFERROR(__xludf.DUMMYFUNCTION("""COMPUTED_VALUE"""),34.74)</f>
        <v>34.74</v>
      </c>
      <c r="C2383" s="1">
        <f>IFERROR(__xludf.DUMMYFUNCTION("""COMPUTED_VALUE"""),34.74)</f>
        <v>34.74</v>
      </c>
      <c r="D2383" s="1">
        <f>IFERROR(__xludf.DUMMYFUNCTION("""COMPUTED_VALUE"""),33.89)</f>
        <v>33.89</v>
      </c>
      <c r="E2383" s="1">
        <f>IFERROR(__xludf.DUMMYFUNCTION("""COMPUTED_VALUE"""),34.51)</f>
        <v>34.51</v>
      </c>
      <c r="F2383" s="1">
        <f>IFERROR(__xludf.DUMMYFUNCTION("""COMPUTED_VALUE"""),343812.0)</f>
        <v>343812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IFERROR(__xludf.DUMMYFUNCTION("""COMPUTED_VALUE"""),34.26)</f>
        <v>34.26</v>
      </c>
      <c r="C2384" s="1">
        <f>IFERROR(__xludf.DUMMYFUNCTION("""COMPUTED_VALUE"""),34.9)</f>
        <v>34.9</v>
      </c>
      <c r="D2384" s="1">
        <f>IFERROR(__xludf.DUMMYFUNCTION("""COMPUTED_VALUE"""),34.26)</f>
        <v>34.26</v>
      </c>
      <c r="E2384" s="1">
        <f>IFERROR(__xludf.DUMMYFUNCTION("""COMPUTED_VALUE"""),34.51)</f>
        <v>34.51</v>
      </c>
      <c r="F2384" s="1">
        <f>IFERROR(__xludf.DUMMYFUNCTION("""COMPUTED_VALUE"""),635920.0)</f>
        <v>635920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IFERROR(__xludf.DUMMYFUNCTION("""COMPUTED_VALUE"""),34.51)</f>
        <v>34.51</v>
      </c>
      <c r="C2385" s="1">
        <f>IFERROR(__xludf.DUMMYFUNCTION("""COMPUTED_VALUE"""),35.01)</f>
        <v>35.01</v>
      </c>
      <c r="D2385" s="1">
        <f>IFERROR(__xludf.DUMMYFUNCTION("""COMPUTED_VALUE"""),34.21)</f>
        <v>34.21</v>
      </c>
      <c r="E2385" s="1">
        <f>IFERROR(__xludf.DUMMYFUNCTION("""COMPUTED_VALUE"""),34.25)</f>
        <v>34.25</v>
      </c>
      <c r="F2385" s="1">
        <f>IFERROR(__xludf.DUMMYFUNCTION("""COMPUTED_VALUE"""),307525.0)</f>
        <v>307525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IFERROR(__xludf.DUMMYFUNCTION("""COMPUTED_VALUE"""),34.24)</f>
        <v>34.24</v>
      </c>
      <c r="C2386" s="1">
        <f>IFERROR(__xludf.DUMMYFUNCTION("""COMPUTED_VALUE"""),34.48)</f>
        <v>34.48</v>
      </c>
      <c r="D2386" s="1">
        <f>IFERROR(__xludf.DUMMYFUNCTION("""COMPUTED_VALUE"""),33.7)</f>
        <v>33.7</v>
      </c>
      <c r="E2386" s="1">
        <f>IFERROR(__xludf.DUMMYFUNCTION("""COMPUTED_VALUE"""),34.35)</f>
        <v>34.35</v>
      </c>
      <c r="F2386" s="1">
        <f>IFERROR(__xludf.DUMMYFUNCTION("""COMPUTED_VALUE"""),391562.0)</f>
        <v>391562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IFERROR(__xludf.DUMMYFUNCTION("""COMPUTED_VALUE"""),34.56)</f>
        <v>34.56</v>
      </c>
      <c r="C2387" s="1">
        <f>IFERROR(__xludf.DUMMYFUNCTION("""COMPUTED_VALUE"""),34.89)</f>
        <v>34.89</v>
      </c>
      <c r="D2387" s="1">
        <f>IFERROR(__xludf.DUMMYFUNCTION("""COMPUTED_VALUE"""),34.42)</f>
        <v>34.42</v>
      </c>
      <c r="E2387" s="1">
        <f>IFERROR(__xludf.DUMMYFUNCTION("""COMPUTED_VALUE"""),34.65)</f>
        <v>34.65</v>
      </c>
      <c r="F2387" s="1">
        <f>IFERROR(__xludf.DUMMYFUNCTION("""COMPUTED_VALUE"""),282619.0)</f>
        <v>282619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IFERROR(__xludf.DUMMYFUNCTION("""COMPUTED_VALUE"""),34.46)</f>
        <v>34.46</v>
      </c>
      <c r="C2388" s="1">
        <f>IFERROR(__xludf.DUMMYFUNCTION("""COMPUTED_VALUE"""),35.29)</f>
        <v>35.29</v>
      </c>
      <c r="D2388" s="1">
        <f>IFERROR(__xludf.DUMMYFUNCTION("""COMPUTED_VALUE"""),34.46)</f>
        <v>34.46</v>
      </c>
      <c r="E2388" s="1">
        <f>IFERROR(__xludf.DUMMYFUNCTION("""COMPUTED_VALUE"""),35.26)</f>
        <v>35.26</v>
      </c>
      <c r="F2388" s="1">
        <f>IFERROR(__xludf.DUMMYFUNCTION("""COMPUTED_VALUE"""),438439.0)</f>
        <v>438439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IFERROR(__xludf.DUMMYFUNCTION("""COMPUTED_VALUE"""),35.63)</f>
        <v>35.63</v>
      </c>
      <c r="C2389" s="1">
        <f>IFERROR(__xludf.DUMMYFUNCTION("""COMPUTED_VALUE"""),36.2)</f>
        <v>36.2</v>
      </c>
      <c r="D2389" s="1">
        <f>IFERROR(__xludf.DUMMYFUNCTION("""COMPUTED_VALUE"""),35.46)</f>
        <v>35.46</v>
      </c>
      <c r="E2389" s="1">
        <f>IFERROR(__xludf.DUMMYFUNCTION("""COMPUTED_VALUE"""),35.91)</f>
        <v>35.91</v>
      </c>
      <c r="F2389" s="1">
        <f>IFERROR(__xludf.DUMMYFUNCTION("""COMPUTED_VALUE"""),721840.0)</f>
        <v>721840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IFERROR(__xludf.DUMMYFUNCTION("""COMPUTED_VALUE"""),36.2)</f>
        <v>36.2</v>
      </c>
      <c r="C2390" s="1">
        <f>IFERROR(__xludf.DUMMYFUNCTION("""COMPUTED_VALUE"""),36.51)</f>
        <v>36.51</v>
      </c>
      <c r="D2390" s="1">
        <f>IFERROR(__xludf.DUMMYFUNCTION("""COMPUTED_VALUE"""),35.95)</f>
        <v>35.95</v>
      </c>
      <c r="E2390" s="1">
        <f>IFERROR(__xludf.DUMMYFUNCTION("""COMPUTED_VALUE"""),36.21)</f>
        <v>36.21</v>
      </c>
      <c r="F2390" s="1">
        <f>IFERROR(__xludf.DUMMYFUNCTION("""COMPUTED_VALUE"""),335772.0)</f>
        <v>335772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IFERROR(__xludf.DUMMYFUNCTION("""COMPUTED_VALUE"""),36.25)</f>
        <v>36.25</v>
      </c>
      <c r="C2391" s="1">
        <f>IFERROR(__xludf.DUMMYFUNCTION("""COMPUTED_VALUE"""),36.25)</f>
        <v>36.25</v>
      </c>
      <c r="D2391" s="1">
        <f>IFERROR(__xludf.DUMMYFUNCTION("""COMPUTED_VALUE"""),35.47)</f>
        <v>35.47</v>
      </c>
      <c r="E2391" s="1">
        <f>IFERROR(__xludf.DUMMYFUNCTION("""COMPUTED_VALUE"""),35.68)</f>
        <v>35.68</v>
      </c>
      <c r="F2391" s="1">
        <f>IFERROR(__xludf.DUMMYFUNCTION("""COMPUTED_VALUE"""),265409.0)</f>
        <v>265409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IFERROR(__xludf.DUMMYFUNCTION("""COMPUTED_VALUE"""),35.78)</f>
        <v>35.78</v>
      </c>
      <c r="C2392" s="1">
        <f>IFERROR(__xludf.DUMMYFUNCTION("""COMPUTED_VALUE"""),36.11)</f>
        <v>36.11</v>
      </c>
      <c r="D2392" s="1">
        <f>IFERROR(__xludf.DUMMYFUNCTION("""COMPUTED_VALUE"""),35.56)</f>
        <v>35.56</v>
      </c>
      <c r="E2392" s="1">
        <f>IFERROR(__xludf.DUMMYFUNCTION("""COMPUTED_VALUE"""),35.9)</f>
        <v>35.9</v>
      </c>
      <c r="F2392" s="1">
        <f>IFERROR(__xludf.DUMMYFUNCTION("""COMPUTED_VALUE"""),147438.0)</f>
        <v>147438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IFERROR(__xludf.DUMMYFUNCTION("""COMPUTED_VALUE"""),36.12)</f>
        <v>36.12</v>
      </c>
      <c r="C2393" s="1">
        <f>IFERROR(__xludf.DUMMYFUNCTION("""COMPUTED_VALUE"""),36.65)</f>
        <v>36.65</v>
      </c>
      <c r="D2393" s="1">
        <f>IFERROR(__xludf.DUMMYFUNCTION("""COMPUTED_VALUE"""),35.99)</f>
        <v>35.99</v>
      </c>
      <c r="E2393" s="1">
        <f>IFERROR(__xludf.DUMMYFUNCTION("""COMPUTED_VALUE"""),36.32)</f>
        <v>36.32</v>
      </c>
      <c r="F2393" s="1">
        <f>IFERROR(__xludf.DUMMYFUNCTION("""COMPUTED_VALUE"""),216705.0)</f>
        <v>216705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IFERROR(__xludf.DUMMYFUNCTION("""COMPUTED_VALUE"""),35.88)</f>
        <v>35.88</v>
      </c>
      <c r="C2394" s="1">
        <f>IFERROR(__xludf.DUMMYFUNCTION("""COMPUTED_VALUE"""),35.99)</f>
        <v>35.99</v>
      </c>
      <c r="D2394" s="1">
        <f>IFERROR(__xludf.DUMMYFUNCTION("""COMPUTED_VALUE"""),35.37)</f>
        <v>35.37</v>
      </c>
      <c r="E2394" s="1">
        <f>IFERROR(__xludf.DUMMYFUNCTION("""COMPUTED_VALUE"""),35.57)</f>
        <v>35.57</v>
      </c>
      <c r="F2394" s="1">
        <f>IFERROR(__xludf.DUMMYFUNCTION("""COMPUTED_VALUE"""),454076.0)</f>
        <v>454076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IFERROR(__xludf.DUMMYFUNCTION("""COMPUTED_VALUE"""),35.37)</f>
        <v>35.37</v>
      </c>
      <c r="C2395" s="1">
        <f>IFERROR(__xludf.DUMMYFUNCTION("""COMPUTED_VALUE"""),35.62)</f>
        <v>35.62</v>
      </c>
      <c r="D2395" s="1">
        <f>IFERROR(__xludf.DUMMYFUNCTION("""COMPUTED_VALUE"""),35.2)</f>
        <v>35.2</v>
      </c>
      <c r="E2395" s="1">
        <f>IFERROR(__xludf.DUMMYFUNCTION("""COMPUTED_VALUE"""),35.47)</f>
        <v>35.47</v>
      </c>
      <c r="F2395" s="1">
        <f>IFERROR(__xludf.DUMMYFUNCTION("""COMPUTED_VALUE"""),256159.0)</f>
        <v>256159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IFERROR(__xludf.DUMMYFUNCTION("""COMPUTED_VALUE"""),35.55)</f>
        <v>35.55</v>
      </c>
      <c r="C2396" s="1">
        <f>IFERROR(__xludf.DUMMYFUNCTION("""COMPUTED_VALUE"""),35.58)</f>
        <v>35.58</v>
      </c>
      <c r="D2396" s="1">
        <f>IFERROR(__xludf.DUMMYFUNCTION("""COMPUTED_VALUE"""),35.19)</f>
        <v>35.19</v>
      </c>
      <c r="E2396" s="1">
        <f>IFERROR(__xludf.DUMMYFUNCTION("""COMPUTED_VALUE"""),35.24)</f>
        <v>35.24</v>
      </c>
      <c r="F2396" s="1">
        <f>IFERROR(__xludf.DUMMYFUNCTION("""COMPUTED_VALUE"""),281176.0)</f>
        <v>281176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IFERROR(__xludf.DUMMYFUNCTION("""COMPUTED_VALUE"""),35.35)</f>
        <v>35.35</v>
      </c>
      <c r="C2397" s="1">
        <f>IFERROR(__xludf.DUMMYFUNCTION("""COMPUTED_VALUE"""),35.45)</f>
        <v>35.45</v>
      </c>
      <c r="D2397" s="1">
        <f>IFERROR(__xludf.DUMMYFUNCTION("""COMPUTED_VALUE"""),34.69)</f>
        <v>34.69</v>
      </c>
      <c r="E2397" s="1">
        <f>IFERROR(__xludf.DUMMYFUNCTION("""COMPUTED_VALUE"""),35.33)</f>
        <v>35.33</v>
      </c>
      <c r="F2397" s="1">
        <f>IFERROR(__xludf.DUMMYFUNCTION("""COMPUTED_VALUE"""),421132.0)</f>
        <v>421132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IFERROR(__xludf.DUMMYFUNCTION("""COMPUTED_VALUE"""),35.43)</f>
        <v>35.43</v>
      </c>
      <c r="C2398" s="1">
        <f>IFERROR(__xludf.DUMMYFUNCTION("""COMPUTED_VALUE"""),35.88)</f>
        <v>35.88</v>
      </c>
      <c r="D2398" s="1">
        <f>IFERROR(__xludf.DUMMYFUNCTION("""COMPUTED_VALUE"""),35.37)</f>
        <v>35.37</v>
      </c>
      <c r="E2398" s="1">
        <f>IFERROR(__xludf.DUMMYFUNCTION("""COMPUTED_VALUE"""),35.77)</f>
        <v>35.77</v>
      </c>
      <c r="F2398" s="1">
        <f>IFERROR(__xludf.DUMMYFUNCTION("""COMPUTED_VALUE"""),306309.0)</f>
        <v>306309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IFERROR(__xludf.DUMMYFUNCTION("""COMPUTED_VALUE"""),35.78)</f>
        <v>35.78</v>
      </c>
      <c r="C2399" s="1">
        <f>IFERROR(__xludf.DUMMYFUNCTION("""COMPUTED_VALUE"""),35.94)</f>
        <v>35.94</v>
      </c>
      <c r="D2399" s="1">
        <f>IFERROR(__xludf.DUMMYFUNCTION("""COMPUTED_VALUE"""),34.74)</f>
        <v>34.74</v>
      </c>
      <c r="E2399" s="1">
        <f>IFERROR(__xludf.DUMMYFUNCTION("""COMPUTED_VALUE"""),34.82)</f>
        <v>34.82</v>
      </c>
      <c r="F2399" s="1">
        <f>IFERROR(__xludf.DUMMYFUNCTION("""COMPUTED_VALUE"""),208370.0)</f>
        <v>208370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IFERROR(__xludf.DUMMYFUNCTION("""COMPUTED_VALUE"""),34.84)</f>
        <v>34.84</v>
      </c>
      <c r="C2400" s="1">
        <f>IFERROR(__xludf.DUMMYFUNCTION("""COMPUTED_VALUE"""),34.98)</f>
        <v>34.98</v>
      </c>
      <c r="D2400" s="1">
        <f>IFERROR(__xludf.DUMMYFUNCTION("""COMPUTED_VALUE"""),34.4)</f>
        <v>34.4</v>
      </c>
      <c r="E2400" s="1">
        <f>IFERROR(__xludf.DUMMYFUNCTION("""COMPUTED_VALUE"""),34.8)</f>
        <v>34.8</v>
      </c>
      <c r="F2400" s="1">
        <f>IFERROR(__xludf.DUMMYFUNCTION("""COMPUTED_VALUE"""),308868.0)</f>
        <v>308868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IFERROR(__xludf.DUMMYFUNCTION("""COMPUTED_VALUE"""),34.6)</f>
        <v>34.6</v>
      </c>
      <c r="C2401" s="1">
        <f>IFERROR(__xludf.DUMMYFUNCTION("""COMPUTED_VALUE"""),34.8)</f>
        <v>34.8</v>
      </c>
      <c r="D2401" s="1">
        <f>IFERROR(__xludf.DUMMYFUNCTION("""COMPUTED_VALUE"""),34.3)</f>
        <v>34.3</v>
      </c>
      <c r="E2401" s="1">
        <f>IFERROR(__xludf.DUMMYFUNCTION("""COMPUTED_VALUE"""),34.77)</f>
        <v>34.77</v>
      </c>
      <c r="F2401" s="1">
        <f>IFERROR(__xludf.DUMMYFUNCTION("""COMPUTED_VALUE"""),442215.0)</f>
        <v>442215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IFERROR(__xludf.DUMMYFUNCTION("""COMPUTED_VALUE"""),35.31)</f>
        <v>35.31</v>
      </c>
      <c r="C2402" s="1">
        <f>IFERROR(__xludf.DUMMYFUNCTION("""COMPUTED_VALUE"""),36.07)</f>
        <v>36.07</v>
      </c>
      <c r="D2402" s="1">
        <f>IFERROR(__xludf.DUMMYFUNCTION("""COMPUTED_VALUE"""),34.4)</f>
        <v>34.4</v>
      </c>
      <c r="E2402" s="1">
        <f>IFERROR(__xludf.DUMMYFUNCTION("""COMPUTED_VALUE"""),35.96)</f>
        <v>35.96</v>
      </c>
      <c r="F2402" s="1">
        <f>IFERROR(__xludf.DUMMYFUNCTION("""COMPUTED_VALUE"""),614029.0)</f>
        <v>614029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IFERROR(__xludf.DUMMYFUNCTION("""COMPUTED_VALUE"""),35.88)</f>
        <v>35.88</v>
      </c>
      <c r="C2403" s="1">
        <f>IFERROR(__xludf.DUMMYFUNCTION("""COMPUTED_VALUE"""),36.91)</f>
        <v>36.91</v>
      </c>
      <c r="D2403" s="1">
        <f>IFERROR(__xludf.DUMMYFUNCTION("""COMPUTED_VALUE"""),35.88)</f>
        <v>35.88</v>
      </c>
      <c r="E2403" s="1">
        <f>IFERROR(__xludf.DUMMYFUNCTION("""COMPUTED_VALUE"""),36.34)</f>
        <v>36.34</v>
      </c>
      <c r="F2403" s="1">
        <f>IFERROR(__xludf.DUMMYFUNCTION("""COMPUTED_VALUE"""),662587.0)</f>
        <v>662587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IFERROR(__xludf.DUMMYFUNCTION("""COMPUTED_VALUE"""),36.25)</f>
        <v>36.25</v>
      </c>
      <c r="C2404" s="1">
        <f>IFERROR(__xludf.DUMMYFUNCTION("""COMPUTED_VALUE"""),36.26)</f>
        <v>36.26</v>
      </c>
      <c r="D2404" s="1">
        <f>IFERROR(__xludf.DUMMYFUNCTION("""COMPUTED_VALUE"""),35.77)</f>
        <v>35.77</v>
      </c>
      <c r="E2404" s="1">
        <f>IFERROR(__xludf.DUMMYFUNCTION("""COMPUTED_VALUE"""),36.0)</f>
        <v>36</v>
      </c>
      <c r="F2404" s="1">
        <f>IFERROR(__xludf.DUMMYFUNCTION("""COMPUTED_VALUE"""),452237.0)</f>
        <v>452237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IFERROR(__xludf.DUMMYFUNCTION("""COMPUTED_VALUE"""),36.0)</f>
        <v>36</v>
      </c>
      <c r="C2405" s="1">
        <f>IFERROR(__xludf.DUMMYFUNCTION("""COMPUTED_VALUE"""),36.76)</f>
        <v>36.76</v>
      </c>
      <c r="D2405" s="1">
        <f>IFERROR(__xludf.DUMMYFUNCTION("""COMPUTED_VALUE"""),35.9)</f>
        <v>35.9</v>
      </c>
      <c r="E2405" s="1">
        <f>IFERROR(__xludf.DUMMYFUNCTION("""COMPUTED_VALUE"""),36.73)</f>
        <v>36.73</v>
      </c>
      <c r="F2405" s="1">
        <f>IFERROR(__xludf.DUMMYFUNCTION("""COMPUTED_VALUE"""),421588.0)</f>
        <v>421588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IFERROR(__xludf.DUMMYFUNCTION("""COMPUTED_VALUE"""),36.63)</f>
        <v>36.63</v>
      </c>
      <c r="C2406" s="1">
        <f>IFERROR(__xludf.DUMMYFUNCTION("""COMPUTED_VALUE"""),37.48)</f>
        <v>37.48</v>
      </c>
      <c r="D2406" s="1">
        <f>IFERROR(__xludf.DUMMYFUNCTION("""COMPUTED_VALUE"""),36.63)</f>
        <v>36.63</v>
      </c>
      <c r="E2406" s="1">
        <f>IFERROR(__xludf.DUMMYFUNCTION("""COMPUTED_VALUE"""),37.32)</f>
        <v>37.32</v>
      </c>
      <c r="F2406" s="1">
        <f>IFERROR(__xludf.DUMMYFUNCTION("""COMPUTED_VALUE"""),681893.0)</f>
        <v>681893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IFERROR(__xludf.DUMMYFUNCTION("""COMPUTED_VALUE"""),37.47)</f>
        <v>37.47</v>
      </c>
      <c r="C2407" s="1">
        <f>IFERROR(__xludf.DUMMYFUNCTION("""COMPUTED_VALUE"""),37.73)</f>
        <v>37.73</v>
      </c>
      <c r="D2407" s="1">
        <f>IFERROR(__xludf.DUMMYFUNCTION("""COMPUTED_VALUE"""),36.83)</f>
        <v>36.83</v>
      </c>
      <c r="E2407" s="1">
        <f>IFERROR(__xludf.DUMMYFUNCTION("""COMPUTED_VALUE"""),37.06)</f>
        <v>37.06</v>
      </c>
      <c r="F2407" s="1">
        <f>IFERROR(__xludf.DUMMYFUNCTION("""COMPUTED_VALUE"""),356280.0)</f>
        <v>356280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IFERROR(__xludf.DUMMYFUNCTION("""COMPUTED_VALUE"""),37.09)</f>
        <v>37.09</v>
      </c>
      <c r="C2408" s="1">
        <f>IFERROR(__xludf.DUMMYFUNCTION("""COMPUTED_VALUE"""),37.54)</f>
        <v>37.54</v>
      </c>
      <c r="D2408" s="1">
        <f>IFERROR(__xludf.DUMMYFUNCTION("""COMPUTED_VALUE"""),36.95)</f>
        <v>36.95</v>
      </c>
      <c r="E2408" s="1">
        <f>IFERROR(__xludf.DUMMYFUNCTION("""COMPUTED_VALUE"""),37.45)</f>
        <v>37.45</v>
      </c>
      <c r="F2408" s="1">
        <f>IFERROR(__xludf.DUMMYFUNCTION("""COMPUTED_VALUE"""),251873.0)</f>
        <v>251873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IFERROR(__xludf.DUMMYFUNCTION("""COMPUTED_VALUE"""),37.43)</f>
        <v>37.43</v>
      </c>
      <c r="C2409" s="1">
        <f>IFERROR(__xludf.DUMMYFUNCTION("""COMPUTED_VALUE"""),37.49)</f>
        <v>37.49</v>
      </c>
      <c r="D2409" s="1">
        <f>IFERROR(__xludf.DUMMYFUNCTION("""COMPUTED_VALUE"""),36.87)</f>
        <v>36.87</v>
      </c>
      <c r="E2409" s="1">
        <f>IFERROR(__xludf.DUMMYFUNCTION("""COMPUTED_VALUE"""),36.93)</f>
        <v>36.93</v>
      </c>
      <c r="F2409" s="1">
        <f>IFERROR(__xludf.DUMMYFUNCTION("""COMPUTED_VALUE"""),377629.0)</f>
        <v>377629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IFERROR(__xludf.DUMMYFUNCTION("""COMPUTED_VALUE"""),36.54)</f>
        <v>36.54</v>
      </c>
      <c r="C2410" s="1">
        <f>IFERROR(__xludf.DUMMYFUNCTION("""COMPUTED_VALUE"""),37.33)</f>
        <v>37.33</v>
      </c>
      <c r="D2410" s="1">
        <f>IFERROR(__xludf.DUMMYFUNCTION("""COMPUTED_VALUE"""),36.52)</f>
        <v>36.52</v>
      </c>
      <c r="E2410" s="1">
        <f>IFERROR(__xludf.DUMMYFUNCTION("""COMPUTED_VALUE"""),37.32)</f>
        <v>37.32</v>
      </c>
      <c r="F2410" s="1">
        <f>IFERROR(__xludf.DUMMYFUNCTION("""COMPUTED_VALUE"""),335095.0)</f>
        <v>335095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IFERROR(__xludf.DUMMYFUNCTION("""COMPUTED_VALUE"""),37.24)</f>
        <v>37.24</v>
      </c>
      <c r="C2411" s="1">
        <f>IFERROR(__xludf.DUMMYFUNCTION("""COMPUTED_VALUE"""),37.62)</f>
        <v>37.62</v>
      </c>
      <c r="D2411" s="1">
        <f>IFERROR(__xludf.DUMMYFUNCTION("""COMPUTED_VALUE"""),36.99)</f>
        <v>36.99</v>
      </c>
      <c r="E2411" s="1">
        <f>IFERROR(__xludf.DUMMYFUNCTION("""COMPUTED_VALUE"""),37.22)</f>
        <v>37.22</v>
      </c>
      <c r="F2411" s="1">
        <f>IFERROR(__xludf.DUMMYFUNCTION("""COMPUTED_VALUE"""),582048.0)</f>
        <v>582048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IFERROR(__xludf.DUMMYFUNCTION("""COMPUTED_VALUE"""),37.11)</f>
        <v>37.11</v>
      </c>
      <c r="C2412" s="1">
        <f>IFERROR(__xludf.DUMMYFUNCTION("""COMPUTED_VALUE"""),37.4)</f>
        <v>37.4</v>
      </c>
      <c r="D2412" s="1">
        <f>IFERROR(__xludf.DUMMYFUNCTION("""COMPUTED_VALUE"""),35.59)</f>
        <v>35.59</v>
      </c>
      <c r="E2412" s="1">
        <f>IFERROR(__xludf.DUMMYFUNCTION("""COMPUTED_VALUE"""),35.73)</f>
        <v>35.73</v>
      </c>
      <c r="F2412" s="1">
        <f>IFERROR(__xludf.DUMMYFUNCTION("""COMPUTED_VALUE"""),699323.0)</f>
        <v>699323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IFERROR(__xludf.DUMMYFUNCTION("""COMPUTED_VALUE"""),35.56)</f>
        <v>35.56</v>
      </c>
      <c r="C2413" s="1">
        <f>IFERROR(__xludf.DUMMYFUNCTION("""COMPUTED_VALUE"""),35.76)</f>
        <v>35.76</v>
      </c>
      <c r="D2413" s="1">
        <f>IFERROR(__xludf.DUMMYFUNCTION("""COMPUTED_VALUE"""),34.82)</f>
        <v>34.82</v>
      </c>
      <c r="E2413" s="1">
        <f>IFERROR(__xludf.DUMMYFUNCTION("""COMPUTED_VALUE"""),35.26)</f>
        <v>35.26</v>
      </c>
      <c r="F2413" s="1">
        <f>IFERROR(__xludf.DUMMYFUNCTION("""COMPUTED_VALUE"""),504345.0)</f>
        <v>504345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IFERROR(__xludf.DUMMYFUNCTION("""COMPUTED_VALUE"""),34.56)</f>
        <v>34.56</v>
      </c>
      <c r="C2414" s="1">
        <f>IFERROR(__xludf.DUMMYFUNCTION("""COMPUTED_VALUE"""),34.72)</f>
        <v>34.72</v>
      </c>
      <c r="D2414" s="1">
        <f>IFERROR(__xludf.DUMMYFUNCTION("""COMPUTED_VALUE"""),33.55)</f>
        <v>33.55</v>
      </c>
      <c r="E2414" s="1">
        <f>IFERROR(__xludf.DUMMYFUNCTION("""COMPUTED_VALUE"""),34.07)</f>
        <v>34.07</v>
      </c>
      <c r="F2414" s="1">
        <f>IFERROR(__xludf.DUMMYFUNCTION("""COMPUTED_VALUE"""),536320.0)</f>
        <v>536320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IFERROR(__xludf.DUMMYFUNCTION("""COMPUTED_VALUE"""),34.32)</f>
        <v>34.32</v>
      </c>
      <c r="C2415" s="1">
        <f>IFERROR(__xludf.DUMMYFUNCTION("""COMPUTED_VALUE"""),34.46)</f>
        <v>34.46</v>
      </c>
      <c r="D2415" s="1">
        <f>IFERROR(__xludf.DUMMYFUNCTION("""COMPUTED_VALUE"""),33.56)</f>
        <v>33.56</v>
      </c>
      <c r="E2415" s="1">
        <f>IFERROR(__xludf.DUMMYFUNCTION("""COMPUTED_VALUE"""),34.23)</f>
        <v>34.23</v>
      </c>
      <c r="F2415" s="1">
        <f>IFERROR(__xludf.DUMMYFUNCTION("""COMPUTED_VALUE"""),293939.0)</f>
        <v>293939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IFERROR(__xludf.DUMMYFUNCTION("""COMPUTED_VALUE"""),33.56)</f>
        <v>33.56</v>
      </c>
      <c r="C2416" s="1">
        <f>IFERROR(__xludf.DUMMYFUNCTION("""COMPUTED_VALUE"""),34.07)</f>
        <v>34.07</v>
      </c>
      <c r="D2416" s="1">
        <f>IFERROR(__xludf.DUMMYFUNCTION("""COMPUTED_VALUE"""),33.22)</f>
        <v>33.22</v>
      </c>
      <c r="E2416" s="1">
        <f>IFERROR(__xludf.DUMMYFUNCTION("""COMPUTED_VALUE"""),33.97)</f>
        <v>33.97</v>
      </c>
      <c r="F2416" s="1">
        <f>IFERROR(__xludf.DUMMYFUNCTION("""COMPUTED_VALUE"""),396704.0)</f>
        <v>396704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IFERROR(__xludf.DUMMYFUNCTION("""COMPUTED_VALUE"""),34.36)</f>
        <v>34.36</v>
      </c>
      <c r="C2417" s="1">
        <f>IFERROR(__xludf.DUMMYFUNCTION("""COMPUTED_VALUE"""),35.02)</f>
        <v>35.02</v>
      </c>
      <c r="D2417" s="1">
        <f>IFERROR(__xludf.DUMMYFUNCTION("""COMPUTED_VALUE"""),34.17)</f>
        <v>34.17</v>
      </c>
      <c r="E2417" s="1">
        <f>IFERROR(__xludf.DUMMYFUNCTION("""COMPUTED_VALUE"""),34.94)</f>
        <v>34.94</v>
      </c>
      <c r="F2417" s="1">
        <f>IFERROR(__xludf.DUMMYFUNCTION("""COMPUTED_VALUE"""),464451.0)</f>
        <v>464451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IFERROR(__xludf.DUMMYFUNCTION("""COMPUTED_VALUE"""),34.7)</f>
        <v>34.7</v>
      </c>
      <c r="C2418" s="1">
        <f>IFERROR(__xludf.DUMMYFUNCTION("""COMPUTED_VALUE"""),34.99)</f>
        <v>34.99</v>
      </c>
      <c r="D2418" s="1">
        <f>IFERROR(__xludf.DUMMYFUNCTION("""COMPUTED_VALUE"""),34.44)</f>
        <v>34.44</v>
      </c>
      <c r="E2418" s="1">
        <f>IFERROR(__xludf.DUMMYFUNCTION("""COMPUTED_VALUE"""),34.85)</f>
        <v>34.85</v>
      </c>
      <c r="F2418" s="1">
        <f>IFERROR(__xludf.DUMMYFUNCTION("""COMPUTED_VALUE"""),387922.0)</f>
        <v>387922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IFERROR(__xludf.DUMMYFUNCTION("""COMPUTED_VALUE"""),34.48)</f>
        <v>34.48</v>
      </c>
      <c r="C2419" s="1">
        <f>IFERROR(__xludf.DUMMYFUNCTION("""COMPUTED_VALUE"""),34.58)</f>
        <v>34.58</v>
      </c>
      <c r="D2419" s="1">
        <f>IFERROR(__xludf.DUMMYFUNCTION("""COMPUTED_VALUE"""),34.04)</f>
        <v>34.04</v>
      </c>
      <c r="E2419" s="1">
        <f>IFERROR(__xludf.DUMMYFUNCTION("""COMPUTED_VALUE"""),34.14)</f>
        <v>34.14</v>
      </c>
      <c r="F2419" s="1">
        <f>IFERROR(__xludf.DUMMYFUNCTION("""COMPUTED_VALUE"""),420816.0)</f>
        <v>420816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IFERROR(__xludf.DUMMYFUNCTION("""COMPUTED_VALUE"""),34.15)</f>
        <v>34.15</v>
      </c>
      <c r="C2420" s="1">
        <f>IFERROR(__xludf.DUMMYFUNCTION("""COMPUTED_VALUE"""),35.42)</f>
        <v>35.42</v>
      </c>
      <c r="D2420" s="1">
        <f>IFERROR(__xludf.DUMMYFUNCTION("""COMPUTED_VALUE"""),34.04)</f>
        <v>34.04</v>
      </c>
      <c r="E2420" s="1">
        <f>IFERROR(__xludf.DUMMYFUNCTION("""COMPUTED_VALUE"""),34.54)</f>
        <v>34.54</v>
      </c>
      <c r="F2420" s="1">
        <f>IFERROR(__xludf.DUMMYFUNCTION("""COMPUTED_VALUE"""),403232.0)</f>
        <v>403232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IFERROR(__xludf.DUMMYFUNCTION("""COMPUTED_VALUE"""),33.7)</f>
        <v>33.7</v>
      </c>
      <c r="C2421" s="1">
        <f>IFERROR(__xludf.DUMMYFUNCTION("""COMPUTED_VALUE"""),33.97)</f>
        <v>33.97</v>
      </c>
      <c r="D2421" s="1">
        <f>IFERROR(__xludf.DUMMYFUNCTION("""COMPUTED_VALUE"""),33.04)</f>
        <v>33.04</v>
      </c>
      <c r="E2421" s="1">
        <f>IFERROR(__xludf.DUMMYFUNCTION("""COMPUTED_VALUE"""),33.24)</f>
        <v>33.24</v>
      </c>
      <c r="F2421" s="1">
        <f>IFERROR(__xludf.DUMMYFUNCTION("""COMPUTED_VALUE"""),348137.0)</f>
        <v>348137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IFERROR(__xludf.DUMMYFUNCTION("""COMPUTED_VALUE"""),33.35)</f>
        <v>33.35</v>
      </c>
      <c r="C2422" s="1">
        <f>IFERROR(__xludf.DUMMYFUNCTION("""COMPUTED_VALUE"""),33.38)</f>
        <v>33.38</v>
      </c>
      <c r="D2422" s="1">
        <f>IFERROR(__xludf.DUMMYFUNCTION("""COMPUTED_VALUE"""),32.82)</f>
        <v>32.82</v>
      </c>
      <c r="E2422" s="1">
        <f>IFERROR(__xludf.DUMMYFUNCTION("""COMPUTED_VALUE"""),32.97)</f>
        <v>32.97</v>
      </c>
      <c r="F2422" s="1">
        <f>IFERROR(__xludf.DUMMYFUNCTION("""COMPUTED_VALUE"""),446055.0)</f>
        <v>446055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IFERROR(__xludf.DUMMYFUNCTION("""COMPUTED_VALUE"""),33.16)</f>
        <v>33.16</v>
      </c>
      <c r="C2423" s="1">
        <f>IFERROR(__xludf.DUMMYFUNCTION("""COMPUTED_VALUE"""),33.97)</f>
        <v>33.97</v>
      </c>
      <c r="D2423" s="1">
        <f>IFERROR(__xludf.DUMMYFUNCTION("""COMPUTED_VALUE"""),33.16)</f>
        <v>33.16</v>
      </c>
      <c r="E2423" s="1">
        <f>IFERROR(__xludf.DUMMYFUNCTION("""COMPUTED_VALUE"""),33.94)</f>
        <v>33.94</v>
      </c>
      <c r="F2423" s="1">
        <f>IFERROR(__xludf.DUMMYFUNCTION("""COMPUTED_VALUE"""),1536520.0)</f>
        <v>1536520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IFERROR(__xludf.DUMMYFUNCTION("""COMPUTED_VALUE"""),34.47)</f>
        <v>34.47</v>
      </c>
      <c r="C2424" s="1">
        <f>IFERROR(__xludf.DUMMYFUNCTION("""COMPUTED_VALUE"""),34.67)</f>
        <v>34.67</v>
      </c>
      <c r="D2424" s="1">
        <f>IFERROR(__xludf.DUMMYFUNCTION("""COMPUTED_VALUE"""),34.22)</f>
        <v>34.22</v>
      </c>
      <c r="E2424" s="1">
        <f>IFERROR(__xludf.DUMMYFUNCTION("""COMPUTED_VALUE"""),34.32)</f>
        <v>34.32</v>
      </c>
      <c r="F2424" s="1">
        <f>IFERROR(__xludf.DUMMYFUNCTION("""COMPUTED_VALUE"""),303938.0)</f>
        <v>303938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IFERROR(__xludf.DUMMYFUNCTION("""COMPUTED_VALUE"""),34.05)</f>
        <v>34.05</v>
      </c>
      <c r="C2425" s="1">
        <f>IFERROR(__xludf.DUMMYFUNCTION("""COMPUTED_VALUE"""),34.17)</f>
        <v>34.17</v>
      </c>
      <c r="D2425" s="1">
        <f>IFERROR(__xludf.DUMMYFUNCTION("""COMPUTED_VALUE"""),33.75)</f>
        <v>33.75</v>
      </c>
      <c r="E2425" s="1">
        <f>IFERROR(__xludf.DUMMYFUNCTION("""COMPUTED_VALUE"""),33.86)</f>
        <v>33.86</v>
      </c>
      <c r="F2425" s="1">
        <f>IFERROR(__xludf.DUMMYFUNCTION("""COMPUTED_VALUE"""),234493.0)</f>
        <v>234493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IFERROR(__xludf.DUMMYFUNCTION("""COMPUTED_VALUE"""),34.15)</f>
        <v>34.15</v>
      </c>
      <c r="C2426" s="1">
        <f>IFERROR(__xludf.DUMMYFUNCTION("""COMPUTED_VALUE"""),34.21)</f>
        <v>34.21</v>
      </c>
      <c r="D2426" s="1">
        <f>IFERROR(__xludf.DUMMYFUNCTION("""COMPUTED_VALUE"""),33.86)</f>
        <v>33.86</v>
      </c>
      <c r="E2426" s="1">
        <f>IFERROR(__xludf.DUMMYFUNCTION("""COMPUTED_VALUE"""),33.93)</f>
        <v>33.93</v>
      </c>
      <c r="F2426" s="1">
        <f>IFERROR(__xludf.DUMMYFUNCTION("""COMPUTED_VALUE"""),323952.0)</f>
        <v>323952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IFERROR(__xludf.DUMMYFUNCTION("""COMPUTED_VALUE"""),34.02)</f>
        <v>34.02</v>
      </c>
      <c r="C2427" s="1">
        <f>IFERROR(__xludf.DUMMYFUNCTION("""COMPUTED_VALUE"""),34.25)</f>
        <v>34.25</v>
      </c>
      <c r="D2427" s="1">
        <f>IFERROR(__xludf.DUMMYFUNCTION("""COMPUTED_VALUE"""),33.59)</f>
        <v>33.59</v>
      </c>
      <c r="E2427" s="1">
        <f>IFERROR(__xludf.DUMMYFUNCTION("""COMPUTED_VALUE"""),33.6)</f>
        <v>33.6</v>
      </c>
      <c r="F2427" s="1">
        <f>IFERROR(__xludf.DUMMYFUNCTION("""COMPUTED_VALUE"""),234570.0)</f>
        <v>234570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IFERROR(__xludf.DUMMYFUNCTION("""COMPUTED_VALUE"""),33.52)</f>
        <v>33.52</v>
      </c>
      <c r="C2428" s="1">
        <f>IFERROR(__xludf.DUMMYFUNCTION("""COMPUTED_VALUE"""),33.75)</f>
        <v>33.75</v>
      </c>
      <c r="D2428" s="1">
        <f>IFERROR(__xludf.DUMMYFUNCTION("""COMPUTED_VALUE"""),32.26)</f>
        <v>32.26</v>
      </c>
      <c r="E2428" s="1">
        <f>IFERROR(__xludf.DUMMYFUNCTION("""COMPUTED_VALUE"""),32.42)</f>
        <v>32.42</v>
      </c>
      <c r="F2428" s="1">
        <f>IFERROR(__xludf.DUMMYFUNCTION("""COMPUTED_VALUE"""),546010.0)</f>
        <v>546010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IFERROR(__xludf.DUMMYFUNCTION("""COMPUTED_VALUE"""),32.77)</f>
        <v>32.77</v>
      </c>
      <c r="C2429" s="1">
        <f>IFERROR(__xludf.DUMMYFUNCTION("""COMPUTED_VALUE"""),32.86)</f>
        <v>32.86</v>
      </c>
      <c r="D2429" s="1">
        <f>IFERROR(__xludf.DUMMYFUNCTION("""COMPUTED_VALUE"""),32.38)</f>
        <v>32.38</v>
      </c>
      <c r="E2429" s="1">
        <f>IFERROR(__xludf.DUMMYFUNCTION("""COMPUTED_VALUE"""),32.78)</f>
        <v>32.78</v>
      </c>
      <c r="F2429" s="1">
        <f>IFERROR(__xludf.DUMMYFUNCTION("""COMPUTED_VALUE"""),352537.0)</f>
        <v>352537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IFERROR(__xludf.DUMMYFUNCTION("""COMPUTED_VALUE"""),33.0)</f>
        <v>33</v>
      </c>
      <c r="C2430" s="1">
        <f>IFERROR(__xludf.DUMMYFUNCTION("""COMPUTED_VALUE"""),33.06)</f>
        <v>33.06</v>
      </c>
      <c r="D2430" s="1">
        <f>IFERROR(__xludf.DUMMYFUNCTION("""COMPUTED_VALUE"""),31.89)</f>
        <v>31.89</v>
      </c>
      <c r="E2430" s="1">
        <f>IFERROR(__xludf.DUMMYFUNCTION("""COMPUTED_VALUE"""),32.02)</f>
        <v>32.02</v>
      </c>
      <c r="F2430" s="1">
        <f>IFERROR(__xludf.DUMMYFUNCTION("""COMPUTED_VALUE"""),592787.0)</f>
        <v>592787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IFERROR(__xludf.DUMMYFUNCTION("""COMPUTED_VALUE"""),31.9)</f>
        <v>31.9</v>
      </c>
      <c r="C2431" s="1">
        <f>IFERROR(__xludf.DUMMYFUNCTION("""COMPUTED_VALUE"""),32.8)</f>
        <v>32.8</v>
      </c>
      <c r="D2431" s="1">
        <f>IFERROR(__xludf.DUMMYFUNCTION("""COMPUTED_VALUE"""),31.9)</f>
        <v>31.9</v>
      </c>
      <c r="E2431" s="1">
        <f>IFERROR(__xludf.DUMMYFUNCTION("""COMPUTED_VALUE"""),32.69)</f>
        <v>32.69</v>
      </c>
      <c r="F2431" s="1">
        <f>IFERROR(__xludf.DUMMYFUNCTION("""COMPUTED_VALUE"""),490234.0)</f>
        <v>490234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IFERROR(__xludf.DUMMYFUNCTION("""COMPUTED_VALUE"""),33.14)</f>
        <v>33.14</v>
      </c>
      <c r="C2432" s="1">
        <f>IFERROR(__xludf.DUMMYFUNCTION("""COMPUTED_VALUE"""),33.6)</f>
        <v>33.6</v>
      </c>
      <c r="D2432" s="1">
        <f>IFERROR(__xludf.DUMMYFUNCTION("""COMPUTED_VALUE"""),33.03)</f>
        <v>33.03</v>
      </c>
      <c r="E2432" s="1">
        <f>IFERROR(__xludf.DUMMYFUNCTION("""COMPUTED_VALUE"""),33.38)</f>
        <v>33.38</v>
      </c>
      <c r="F2432" s="1">
        <f>IFERROR(__xludf.DUMMYFUNCTION("""COMPUTED_VALUE"""),401998.0)</f>
        <v>401998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IFERROR(__xludf.DUMMYFUNCTION("""COMPUTED_VALUE"""),33.3)</f>
        <v>33.3</v>
      </c>
      <c r="C2433" s="1">
        <f>IFERROR(__xludf.DUMMYFUNCTION("""COMPUTED_VALUE"""),33.42)</f>
        <v>33.42</v>
      </c>
      <c r="D2433" s="1">
        <f>IFERROR(__xludf.DUMMYFUNCTION("""COMPUTED_VALUE"""),32.92)</f>
        <v>32.92</v>
      </c>
      <c r="E2433" s="1">
        <f>IFERROR(__xludf.DUMMYFUNCTION("""COMPUTED_VALUE"""),33.19)</f>
        <v>33.19</v>
      </c>
      <c r="F2433" s="1">
        <f>IFERROR(__xludf.DUMMYFUNCTION("""COMPUTED_VALUE"""),454851.0)</f>
        <v>454851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IFERROR(__xludf.DUMMYFUNCTION("""COMPUTED_VALUE"""),32.97)</f>
        <v>32.97</v>
      </c>
      <c r="C2434" s="1">
        <f>IFERROR(__xludf.DUMMYFUNCTION("""COMPUTED_VALUE"""),33.01)</f>
        <v>33.01</v>
      </c>
      <c r="D2434" s="1">
        <f>IFERROR(__xludf.DUMMYFUNCTION("""COMPUTED_VALUE"""),32.08)</f>
        <v>32.08</v>
      </c>
      <c r="E2434" s="1">
        <f>IFERROR(__xludf.DUMMYFUNCTION("""COMPUTED_VALUE"""),32.45)</f>
        <v>32.45</v>
      </c>
      <c r="F2434" s="1">
        <f>IFERROR(__xludf.DUMMYFUNCTION("""COMPUTED_VALUE"""),359913.0)</f>
        <v>359913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IFERROR(__xludf.DUMMYFUNCTION("""COMPUTED_VALUE"""),32.7)</f>
        <v>32.7</v>
      </c>
      <c r="C2435" s="1">
        <f>IFERROR(__xludf.DUMMYFUNCTION("""COMPUTED_VALUE"""),32.82)</f>
        <v>32.82</v>
      </c>
      <c r="D2435" s="1">
        <f>IFERROR(__xludf.DUMMYFUNCTION("""COMPUTED_VALUE"""),32.42)</f>
        <v>32.42</v>
      </c>
      <c r="E2435" s="1">
        <f>IFERROR(__xludf.DUMMYFUNCTION("""COMPUTED_VALUE"""),32.62)</f>
        <v>32.62</v>
      </c>
      <c r="F2435" s="1">
        <f>IFERROR(__xludf.DUMMYFUNCTION("""COMPUTED_VALUE"""),200569.0)</f>
        <v>200569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IFERROR(__xludf.DUMMYFUNCTION("""COMPUTED_VALUE"""),33.14)</f>
        <v>33.14</v>
      </c>
      <c r="C2436" s="1">
        <f>IFERROR(__xludf.DUMMYFUNCTION("""COMPUTED_VALUE"""),34.03)</f>
        <v>34.03</v>
      </c>
      <c r="D2436" s="1">
        <f>IFERROR(__xludf.DUMMYFUNCTION("""COMPUTED_VALUE"""),33.14)</f>
        <v>33.14</v>
      </c>
      <c r="E2436" s="1">
        <f>IFERROR(__xludf.DUMMYFUNCTION("""COMPUTED_VALUE"""),33.62)</f>
        <v>33.62</v>
      </c>
      <c r="F2436" s="1">
        <f>IFERROR(__xludf.DUMMYFUNCTION("""COMPUTED_VALUE"""),307617.0)</f>
        <v>307617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IFERROR(__xludf.DUMMYFUNCTION("""COMPUTED_VALUE"""),33.59)</f>
        <v>33.59</v>
      </c>
      <c r="C2437" s="1">
        <f>IFERROR(__xludf.DUMMYFUNCTION("""COMPUTED_VALUE"""),33.6)</f>
        <v>33.6</v>
      </c>
      <c r="D2437" s="1">
        <f>IFERROR(__xludf.DUMMYFUNCTION("""COMPUTED_VALUE"""),33.21)</f>
        <v>33.21</v>
      </c>
      <c r="E2437" s="1">
        <f>IFERROR(__xludf.DUMMYFUNCTION("""COMPUTED_VALUE"""),33.26)</f>
        <v>33.26</v>
      </c>
      <c r="F2437" s="1">
        <f>IFERROR(__xludf.DUMMYFUNCTION("""COMPUTED_VALUE"""),201940.0)</f>
        <v>201940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IFERROR(__xludf.DUMMYFUNCTION("""COMPUTED_VALUE"""),33.49)</f>
        <v>33.49</v>
      </c>
      <c r="C2438" s="1">
        <f>IFERROR(__xludf.DUMMYFUNCTION("""COMPUTED_VALUE"""),34.38)</f>
        <v>34.38</v>
      </c>
      <c r="D2438" s="1">
        <f>IFERROR(__xludf.DUMMYFUNCTION("""COMPUTED_VALUE"""),33.44)</f>
        <v>33.44</v>
      </c>
      <c r="E2438" s="1">
        <f>IFERROR(__xludf.DUMMYFUNCTION("""COMPUTED_VALUE"""),34.23)</f>
        <v>34.23</v>
      </c>
      <c r="F2438" s="1">
        <f>IFERROR(__xludf.DUMMYFUNCTION("""COMPUTED_VALUE"""),298726.0)</f>
        <v>298726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IFERROR(__xludf.DUMMYFUNCTION("""COMPUTED_VALUE"""),34.3)</f>
        <v>34.3</v>
      </c>
      <c r="C2439" s="1">
        <f>IFERROR(__xludf.DUMMYFUNCTION("""COMPUTED_VALUE"""),34.74)</f>
        <v>34.74</v>
      </c>
      <c r="D2439" s="1">
        <f>IFERROR(__xludf.DUMMYFUNCTION("""COMPUTED_VALUE"""),34.3)</f>
        <v>34.3</v>
      </c>
      <c r="E2439" s="1">
        <f>IFERROR(__xludf.DUMMYFUNCTION("""COMPUTED_VALUE"""),34.64)</f>
        <v>34.64</v>
      </c>
      <c r="F2439" s="1">
        <f>IFERROR(__xludf.DUMMYFUNCTION("""COMPUTED_VALUE"""),404108.0)</f>
        <v>404108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IFERROR(__xludf.DUMMYFUNCTION("""COMPUTED_VALUE"""),34.88)</f>
        <v>34.88</v>
      </c>
      <c r="C2440" s="1">
        <f>IFERROR(__xludf.DUMMYFUNCTION("""COMPUTED_VALUE"""),35.15)</f>
        <v>35.15</v>
      </c>
      <c r="D2440" s="1">
        <f>IFERROR(__xludf.DUMMYFUNCTION("""COMPUTED_VALUE"""),34.25)</f>
        <v>34.25</v>
      </c>
      <c r="E2440" s="1">
        <f>IFERROR(__xludf.DUMMYFUNCTION("""COMPUTED_VALUE"""),35.11)</f>
        <v>35.11</v>
      </c>
      <c r="F2440" s="1">
        <f>IFERROR(__xludf.DUMMYFUNCTION("""COMPUTED_VALUE"""),311083.0)</f>
        <v>311083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IFERROR(__xludf.DUMMYFUNCTION("""COMPUTED_VALUE"""),34.84)</f>
        <v>34.84</v>
      </c>
      <c r="C2441" s="1">
        <f>IFERROR(__xludf.DUMMYFUNCTION("""COMPUTED_VALUE"""),35.47)</f>
        <v>35.47</v>
      </c>
      <c r="D2441" s="1">
        <f>IFERROR(__xludf.DUMMYFUNCTION("""COMPUTED_VALUE"""),34.55)</f>
        <v>34.55</v>
      </c>
      <c r="E2441" s="1">
        <f>IFERROR(__xludf.DUMMYFUNCTION("""COMPUTED_VALUE"""),35.34)</f>
        <v>35.34</v>
      </c>
      <c r="F2441" s="1">
        <f>IFERROR(__xludf.DUMMYFUNCTION("""COMPUTED_VALUE"""),374654.0)</f>
        <v>374654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IFERROR(__xludf.DUMMYFUNCTION("""COMPUTED_VALUE"""),35.81)</f>
        <v>35.81</v>
      </c>
      <c r="C2442" s="1">
        <f>IFERROR(__xludf.DUMMYFUNCTION("""COMPUTED_VALUE"""),36.08)</f>
        <v>36.08</v>
      </c>
      <c r="D2442" s="1">
        <f>IFERROR(__xludf.DUMMYFUNCTION("""COMPUTED_VALUE"""),35.54)</f>
        <v>35.54</v>
      </c>
      <c r="E2442" s="1">
        <f>IFERROR(__xludf.DUMMYFUNCTION("""COMPUTED_VALUE"""),35.74)</f>
        <v>35.74</v>
      </c>
      <c r="F2442" s="1">
        <f>IFERROR(__xludf.DUMMYFUNCTION("""COMPUTED_VALUE"""),628583.0)</f>
        <v>628583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IFERROR(__xludf.DUMMYFUNCTION("""COMPUTED_VALUE"""),35.5)</f>
        <v>35.5</v>
      </c>
      <c r="C2443" s="1">
        <f>IFERROR(__xludf.DUMMYFUNCTION("""COMPUTED_VALUE"""),35.91)</f>
        <v>35.91</v>
      </c>
      <c r="D2443" s="1">
        <f>IFERROR(__xludf.DUMMYFUNCTION("""COMPUTED_VALUE"""),35.34)</f>
        <v>35.34</v>
      </c>
      <c r="E2443" s="1">
        <f>IFERROR(__xludf.DUMMYFUNCTION("""COMPUTED_VALUE"""),35.58)</f>
        <v>35.58</v>
      </c>
      <c r="F2443" s="1">
        <f>IFERROR(__xludf.DUMMYFUNCTION("""COMPUTED_VALUE"""),238327.0)</f>
        <v>238327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IFERROR(__xludf.DUMMYFUNCTION("""COMPUTED_VALUE"""),35.35)</f>
        <v>35.35</v>
      </c>
      <c r="C2444" s="1">
        <f>IFERROR(__xludf.DUMMYFUNCTION("""COMPUTED_VALUE"""),35.35)</f>
        <v>35.35</v>
      </c>
      <c r="D2444" s="1">
        <f>IFERROR(__xludf.DUMMYFUNCTION("""COMPUTED_VALUE"""),34.89)</f>
        <v>34.89</v>
      </c>
      <c r="E2444" s="1">
        <f>IFERROR(__xludf.DUMMYFUNCTION("""COMPUTED_VALUE"""),35.06)</f>
        <v>35.06</v>
      </c>
      <c r="F2444" s="1">
        <f>IFERROR(__xludf.DUMMYFUNCTION("""COMPUTED_VALUE"""),224954.0)</f>
        <v>224954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IFERROR(__xludf.DUMMYFUNCTION("""COMPUTED_VALUE"""),34.96)</f>
        <v>34.96</v>
      </c>
      <c r="C2445" s="1">
        <f>IFERROR(__xludf.DUMMYFUNCTION("""COMPUTED_VALUE"""),35.4)</f>
        <v>35.4</v>
      </c>
      <c r="D2445" s="1">
        <f>IFERROR(__xludf.DUMMYFUNCTION("""COMPUTED_VALUE"""),34.78)</f>
        <v>34.78</v>
      </c>
      <c r="E2445" s="1">
        <f>IFERROR(__xludf.DUMMYFUNCTION("""COMPUTED_VALUE"""),35.26)</f>
        <v>35.26</v>
      </c>
      <c r="F2445" s="1">
        <f>IFERROR(__xludf.DUMMYFUNCTION("""COMPUTED_VALUE"""),262666.0)</f>
        <v>262666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IFERROR(__xludf.DUMMYFUNCTION("""COMPUTED_VALUE"""),35.21)</f>
        <v>35.21</v>
      </c>
      <c r="C2446" s="1">
        <f>IFERROR(__xludf.DUMMYFUNCTION("""COMPUTED_VALUE"""),35.84)</f>
        <v>35.84</v>
      </c>
      <c r="D2446" s="1">
        <f>IFERROR(__xludf.DUMMYFUNCTION("""COMPUTED_VALUE"""),35.08)</f>
        <v>35.08</v>
      </c>
      <c r="E2446" s="1">
        <f>IFERROR(__xludf.DUMMYFUNCTION("""COMPUTED_VALUE"""),35.09)</f>
        <v>35.09</v>
      </c>
      <c r="F2446" s="1">
        <f>IFERROR(__xludf.DUMMYFUNCTION("""COMPUTED_VALUE"""),214823.0)</f>
        <v>214823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IFERROR(__xludf.DUMMYFUNCTION("""COMPUTED_VALUE"""),35.1)</f>
        <v>35.1</v>
      </c>
      <c r="C2447" s="1">
        <f>IFERROR(__xludf.DUMMYFUNCTION("""COMPUTED_VALUE"""),35.56)</f>
        <v>35.56</v>
      </c>
      <c r="D2447" s="1">
        <f>IFERROR(__xludf.DUMMYFUNCTION("""COMPUTED_VALUE"""),34.76)</f>
        <v>34.76</v>
      </c>
      <c r="E2447" s="1">
        <f>IFERROR(__xludf.DUMMYFUNCTION("""COMPUTED_VALUE"""),35.18)</f>
        <v>35.18</v>
      </c>
      <c r="F2447" s="1">
        <f>IFERROR(__xludf.DUMMYFUNCTION("""COMPUTED_VALUE"""),1097627.0)</f>
        <v>1097627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IFERROR(__xludf.DUMMYFUNCTION("""COMPUTED_VALUE"""),35.03)</f>
        <v>35.03</v>
      </c>
      <c r="C2448" s="1">
        <f>IFERROR(__xludf.DUMMYFUNCTION("""COMPUTED_VALUE"""),35.48)</f>
        <v>35.48</v>
      </c>
      <c r="D2448" s="1">
        <f>IFERROR(__xludf.DUMMYFUNCTION("""COMPUTED_VALUE"""),34.83)</f>
        <v>34.83</v>
      </c>
      <c r="E2448" s="1">
        <f>IFERROR(__xludf.DUMMYFUNCTION("""COMPUTED_VALUE"""),35.3)</f>
        <v>35.3</v>
      </c>
      <c r="F2448" s="1">
        <f>IFERROR(__xludf.DUMMYFUNCTION("""COMPUTED_VALUE"""),193686.0)</f>
        <v>193686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IFERROR(__xludf.DUMMYFUNCTION("""COMPUTED_VALUE"""),35.22)</f>
        <v>35.22</v>
      </c>
      <c r="C2449" s="1">
        <f>IFERROR(__xludf.DUMMYFUNCTION("""COMPUTED_VALUE"""),35.37)</f>
        <v>35.37</v>
      </c>
      <c r="D2449" s="1">
        <f>IFERROR(__xludf.DUMMYFUNCTION("""COMPUTED_VALUE"""),34.32)</f>
        <v>34.32</v>
      </c>
      <c r="E2449" s="1">
        <f>IFERROR(__xludf.DUMMYFUNCTION("""COMPUTED_VALUE"""),34.5)</f>
        <v>34.5</v>
      </c>
      <c r="F2449" s="1">
        <f>IFERROR(__xludf.DUMMYFUNCTION("""COMPUTED_VALUE"""),337802.0)</f>
        <v>337802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IFERROR(__xludf.DUMMYFUNCTION("""COMPUTED_VALUE"""),34.63)</f>
        <v>34.63</v>
      </c>
      <c r="C2450" s="1">
        <f>IFERROR(__xludf.DUMMYFUNCTION("""COMPUTED_VALUE"""),35.61)</f>
        <v>35.61</v>
      </c>
      <c r="D2450" s="1">
        <f>IFERROR(__xludf.DUMMYFUNCTION("""COMPUTED_VALUE"""),34.63)</f>
        <v>34.63</v>
      </c>
      <c r="E2450" s="1">
        <f>IFERROR(__xludf.DUMMYFUNCTION("""COMPUTED_VALUE"""),35.56)</f>
        <v>35.56</v>
      </c>
      <c r="F2450" s="1">
        <f>IFERROR(__xludf.DUMMYFUNCTION("""COMPUTED_VALUE"""),353391.0)</f>
        <v>353391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IFERROR(__xludf.DUMMYFUNCTION("""COMPUTED_VALUE"""),35.37)</f>
        <v>35.37</v>
      </c>
      <c r="C2451" s="1">
        <f>IFERROR(__xludf.DUMMYFUNCTION("""COMPUTED_VALUE"""),35.55)</f>
        <v>35.55</v>
      </c>
      <c r="D2451" s="1">
        <f>IFERROR(__xludf.DUMMYFUNCTION("""COMPUTED_VALUE"""),34.7)</f>
        <v>34.7</v>
      </c>
      <c r="E2451" s="1">
        <f>IFERROR(__xludf.DUMMYFUNCTION("""COMPUTED_VALUE"""),34.73)</f>
        <v>34.73</v>
      </c>
      <c r="F2451" s="1">
        <f>IFERROR(__xludf.DUMMYFUNCTION("""COMPUTED_VALUE"""),468100.0)</f>
        <v>468100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IFERROR(__xludf.DUMMYFUNCTION("""COMPUTED_VALUE"""),35.14)</f>
        <v>35.14</v>
      </c>
      <c r="C2452" s="1">
        <f>IFERROR(__xludf.DUMMYFUNCTION("""COMPUTED_VALUE"""),35.6)</f>
        <v>35.6</v>
      </c>
      <c r="D2452" s="1">
        <f>IFERROR(__xludf.DUMMYFUNCTION("""COMPUTED_VALUE"""),34.81)</f>
        <v>34.81</v>
      </c>
      <c r="E2452" s="1">
        <f>IFERROR(__xludf.DUMMYFUNCTION("""COMPUTED_VALUE"""),34.94)</f>
        <v>34.94</v>
      </c>
      <c r="F2452" s="1">
        <f>IFERROR(__xludf.DUMMYFUNCTION("""COMPUTED_VALUE"""),428104.0)</f>
        <v>428104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IFERROR(__xludf.DUMMYFUNCTION("""COMPUTED_VALUE"""),35.08)</f>
        <v>35.08</v>
      </c>
      <c r="C2453" s="1">
        <f>IFERROR(__xludf.DUMMYFUNCTION("""COMPUTED_VALUE"""),35.08)</f>
        <v>35.08</v>
      </c>
      <c r="D2453" s="1">
        <f>IFERROR(__xludf.DUMMYFUNCTION("""COMPUTED_VALUE"""),34.72)</f>
        <v>34.72</v>
      </c>
      <c r="E2453" s="1">
        <f>IFERROR(__xludf.DUMMYFUNCTION("""COMPUTED_VALUE"""),34.74)</f>
        <v>34.74</v>
      </c>
      <c r="F2453" s="1">
        <f>IFERROR(__xludf.DUMMYFUNCTION("""COMPUTED_VALUE"""),182490.0)</f>
        <v>182490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IFERROR(__xludf.DUMMYFUNCTION("""COMPUTED_VALUE"""),35.0)</f>
        <v>35</v>
      </c>
      <c r="C2454" s="1">
        <f>IFERROR(__xludf.DUMMYFUNCTION("""COMPUTED_VALUE"""),35.18)</f>
        <v>35.18</v>
      </c>
      <c r="D2454" s="1">
        <f>IFERROR(__xludf.DUMMYFUNCTION("""COMPUTED_VALUE"""),33.87)</f>
        <v>33.87</v>
      </c>
      <c r="E2454" s="1">
        <f>IFERROR(__xludf.DUMMYFUNCTION("""COMPUTED_VALUE"""),34.07)</f>
        <v>34.07</v>
      </c>
      <c r="F2454" s="1">
        <f>IFERROR(__xludf.DUMMYFUNCTION("""COMPUTED_VALUE"""),270934.0)</f>
        <v>270934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IFERROR(__xludf.DUMMYFUNCTION("""COMPUTED_VALUE"""),33.81)</f>
        <v>33.81</v>
      </c>
      <c r="C2455" s="1">
        <f>IFERROR(__xludf.DUMMYFUNCTION("""COMPUTED_VALUE"""),34.26)</f>
        <v>34.26</v>
      </c>
      <c r="D2455" s="1">
        <f>IFERROR(__xludf.DUMMYFUNCTION("""COMPUTED_VALUE"""),33.59)</f>
        <v>33.59</v>
      </c>
      <c r="E2455" s="1">
        <f>IFERROR(__xludf.DUMMYFUNCTION("""COMPUTED_VALUE"""),34.2)</f>
        <v>34.2</v>
      </c>
      <c r="F2455" s="1">
        <f>IFERROR(__xludf.DUMMYFUNCTION("""COMPUTED_VALUE"""),332880.0)</f>
        <v>332880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IFERROR(__xludf.DUMMYFUNCTION("""COMPUTED_VALUE"""),34.09)</f>
        <v>34.09</v>
      </c>
      <c r="C2456" s="1">
        <f>IFERROR(__xludf.DUMMYFUNCTION("""COMPUTED_VALUE"""),34.18)</f>
        <v>34.18</v>
      </c>
      <c r="D2456" s="1">
        <f>IFERROR(__xludf.DUMMYFUNCTION("""COMPUTED_VALUE"""),33.51)</f>
        <v>33.51</v>
      </c>
      <c r="E2456" s="1">
        <f>IFERROR(__xludf.DUMMYFUNCTION("""COMPUTED_VALUE"""),34.01)</f>
        <v>34.01</v>
      </c>
      <c r="F2456" s="1">
        <f>IFERROR(__xludf.DUMMYFUNCTION("""COMPUTED_VALUE"""),183966.0)</f>
        <v>183966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IFERROR(__xludf.DUMMYFUNCTION("""COMPUTED_VALUE"""),34.01)</f>
        <v>34.01</v>
      </c>
      <c r="C2457" s="1">
        <f>IFERROR(__xludf.DUMMYFUNCTION("""COMPUTED_VALUE"""),34.46)</f>
        <v>34.46</v>
      </c>
      <c r="D2457" s="1">
        <f>IFERROR(__xludf.DUMMYFUNCTION("""COMPUTED_VALUE"""),33.74)</f>
        <v>33.74</v>
      </c>
      <c r="E2457" s="1">
        <f>IFERROR(__xludf.DUMMYFUNCTION("""COMPUTED_VALUE"""),34.43)</f>
        <v>34.43</v>
      </c>
      <c r="F2457" s="1">
        <f>IFERROR(__xludf.DUMMYFUNCTION("""COMPUTED_VALUE"""),166537.0)</f>
        <v>166537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IFERROR(__xludf.DUMMYFUNCTION("""COMPUTED_VALUE"""),34.34)</f>
        <v>34.34</v>
      </c>
      <c r="C2458" s="1">
        <f>IFERROR(__xludf.DUMMYFUNCTION("""COMPUTED_VALUE"""),34.69)</f>
        <v>34.69</v>
      </c>
      <c r="D2458" s="1">
        <f>IFERROR(__xludf.DUMMYFUNCTION("""COMPUTED_VALUE"""),34.27)</f>
        <v>34.27</v>
      </c>
      <c r="E2458" s="1">
        <f>IFERROR(__xludf.DUMMYFUNCTION("""COMPUTED_VALUE"""),34.4)</f>
        <v>34.4</v>
      </c>
      <c r="F2458" s="1">
        <f>IFERROR(__xludf.DUMMYFUNCTION("""COMPUTED_VALUE"""),134155.0)</f>
        <v>134155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IFERROR(__xludf.DUMMYFUNCTION("""COMPUTED_VALUE"""),33.85)</f>
        <v>33.85</v>
      </c>
      <c r="C2459" s="1">
        <f>IFERROR(__xludf.DUMMYFUNCTION("""COMPUTED_VALUE"""),34.0)</f>
        <v>34</v>
      </c>
      <c r="D2459" s="1">
        <f>IFERROR(__xludf.DUMMYFUNCTION("""COMPUTED_VALUE"""),33.59)</f>
        <v>33.59</v>
      </c>
      <c r="E2459" s="1">
        <f>IFERROR(__xludf.DUMMYFUNCTION("""COMPUTED_VALUE"""),33.65)</f>
        <v>33.65</v>
      </c>
      <c r="F2459" s="1">
        <f>IFERROR(__xludf.DUMMYFUNCTION("""COMPUTED_VALUE"""),221297.0)</f>
        <v>221297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IFERROR(__xludf.DUMMYFUNCTION("""COMPUTED_VALUE"""),34.03)</f>
        <v>34.03</v>
      </c>
      <c r="C2460" s="1">
        <f>IFERROR(__xludf.DUMMYFUNCTION("""COMPUTED_VALUE"""),34.04)</f>
        <v>34.04</v>
      </c>
      <c r="D2460" s="1">
        <f>IFERROR(__xludf.DUMMYFUNCTION("""COMPUTED_VALUE"""),33.57)</f>
        <v>33.57</v>
      </c>
      <c r="E2460" s="1">
        <f>IFERROR(__xludf.DUMMYFUNCTION("""COMPUTED_VALUE"""),33.84)</f>
        <v>33.84</v>
      </c>
      <c r="F2460" s="1">
        <f>IFERROR(__xludf.DUMMYFUNCTION("""COMPUTED_VALUE"""),146124.0)</f>
        <v>146124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IFERROR(__xludf.DUMMYFUNCTION("""COMPUTED_VALUE"""),33.93)</f>
        <v>33.93</v>
      </c>
      <c r="C2461" s="1">
        <f>IFERROR(__xludf.DUMMYFUNCTION("""COMPUTED_VALUE"""),34.32)</f>
        <v>34.32</v>
      </c>
      <c r="D2461" s="1">
        <f>IFERROR(__xludf.DUMMYFUNCTION("""COMPUTED_VALUE"""),33.81)</f>
        <v>33.81</v>
      </c>
      <c r="E2461" s="1">
        <f>IFERROR(__xludf.DUMMYFUNCTION("""COMPUTED_VALUE"""),33.94)</f>
        <v>33.94</v>
      </c>
      <c r="F2461" s="1">
        <f>IFERROR(__xludf.DUMMYFUNCTION("""COMPUTED_VALUE"""),224517.0)</f>
        <v>224517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IFERROR(__xludf.DUMMYFUNCTION("""COMPUTED_VALUE"""),34.51)</f>
        <v>34.51</v>
      </c>
      <c r="C2462" s="1">
        <f>IFERROR(__xludf.DUMMYFUNCTION("""COMPUTED_VALUE"""),35.1)</f>
        <v>35.1</v>
      </c>
      <c r="D2462" s="1">
        <f>IFERROR(__xludf.DUMMYFUNCTION("""COMPUTED_VALUE"""),34.3)</f>
        <v>34.3</v>
      </c>
      <c r="E2462" s="1">
        <f>IFERROR(__xludf.DUMMYFUNCTION("""COMPUTED_VALUE"""),34.59)</f>
        <v>34.59</v>
      </c>
      <c r="F2462" s="1">
        <f>IFERROR(__xludf.DUMMYFUNCTION("""COMPUTED_VALUE"""),227312.0)</f>
        <v>227312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IFERROR(__xludf.DUMMYFUNCTION("""COMPUTED_VALUE"""),34.45)</f>
        <v>34.45</v>
      </c>
      <c r="C2463" s="1">
        <f>IFERROR(__xludf.DUMMYFUNCTION("""COMPUTED_VALUE"""),34.6)</f>
        <v>34.6</v>
      </c>
      <c r="D2463" s="1">
        <f>IFERROR(__xludf.DUMMYFUNCTION("""COMPUTED_VALUE"""),34.16)</f>
        <v>34.16</v>
      </c>
      <c r="E2463" s="1">
        <f>IFERROR(__xludf.DUMMYFUNCTION("""COMPUTED_VALUE"""),34.48)</f>
        <v>34.48</v>
      </c>
      <c r="F2463" s="1">
        <f>IFERROR(__xludf.DUMMYFUNCTION("""COMPUTED_VALUE"""),180245.0)</f>
        <v>180245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IFERROR(__xludf.DUMMYFUNCTION("""COMPUTED_VALUE"""),34.5)</f>
        <v>34.5</v>
      </c>
      <c r="C2464" s="1">
        <f>IFERROR(__xludf.DUMMYFUNCTION("""COMPUTED_VALUE"""),35.15)</f>
        <v>35.15</v>
      </c>
      <c r="D2464" s="1">
        <f>IFERROR(__xludf.DUMMYFUNCTION("""COMPUTED_VALUE"""),34.42)</f>
        <v>34.42</v>
      </c>
      <c r="E2464" s="1">
        <f>IFERROR(__xludf.DUMMYFUNCTION("""COMPUTED_VALUE"""),34.97)</f>
        <v>34.97</v>
      </c>
      <c r="F2464" s="1">
        <f>IFERROR(__xludf.DUMMYFUNCTION("""COMPUTED_VALUE"""),146496.0)</f>
        <v>146496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IFERROR(__xludf.DUMMYFUNCTION("""COMPUTED_VALUE"""),34.72)</f>
        <v>34.72</v>
      </c>
      <c r="C2465" s="1">
        <f>IFERROR(__xludf.DUMMYFUNCTION("""COMPUTED_VALUE"""),35.23)</f>
        <v>35.23</v>
      </c>
      <c r="D2465" s="1">
        <f>IFERROR(__xludf.DUMMYFUNCTION("""COMPUTED_VALUE"""),34.62)</f>
        <v>34.62</v>
      </c>
      <c r="E2465" s="1">
        <f>IFERROR(__xludf.DUMMYFUNCTION("""COMPUTED_VALUE"""),34.85)</f>
        <v>34.85</v>
      </c>
      <c r="F2465" s="1">
        <f>IFERROR(__xludf.DUMMYFUNCTION("""COMPUTED_VALUE"""),276024.0)</f>
        <v>276024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IFERROR(__xludf.DUMMYFUNCTION("""COMPUTED_VALUE"""),36.2)</f>
        <v>36.2</v>
      </c>
      <c r="C2466" s="1">
        <f>IFERROR(__xludf.DUMMYFUNCTION("""COMPUTED_VALUE"""),36.2)</f>
        <v>36.2</v>
      </c>
      <c r="D2466" s="1">
        <f>IFERROR(__xludf.DUMMYFUNCTION("""COMPUTED_VALUE"""),35.0)</f>
        <v>35</v>
      </c>
      <c r="E2466" s="1">
        <f>IFERROR(__xludf.DUMMYFUNCTION("""COMPUTED_VALUE"""),35.36)</f>
        <v>35.36</v>
      </c>
      <c r="F2466" s="1">
        <f>IFERROR(__xludf.DUMMYFUNCTION("""COMPUTED_VALUE"""),384817.0)</f>
        <v>384817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IFERROR(__xludf.DUMMYFUNCTION("""COMPUTED_VALUE"""),35.24)</f>
        <v>35.24</v>
      </c>
      <c r="C2467" s="1">
        <f>IFERROR(__xludf.DUMMYFUNCTION("""COMPUTED_VALUE"""),35.92)</f>
        <v>35.92</v>
      </c>
      <c r="D2467" s="1">
        <f>IFERROR(__xludf.DUMMYFUNCTION("""COMPUTED_VALUE"""),35.24)</f>
        <v>35.24</v>
      </c>
      <c r="E2467" s="1">
        <f>IFERROR(__xludf.DUMMYFUNCTION("""COMPUTED_VALUE"""),35.77)</f>
        <v>35.77</v>
      </c>
      <c r="F2467" s="1">
        <f>IFERROR(__xludf.DUMMYFUNCTION("""COMPUTED_VALUE"""),355568.0)</f>
        <v>355568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IFERROR(__xludf.DUMMYFUNCTION("""COMPUTED_VALUE"""),36.0)</f>
        <v>36</v>
      </c>
      <c r="C2468" s="1">
        <f>IFERROR(__xludf.DUMMYFUNCTION("""COMPUTED_VALUE"""),36.42)</f>
        <v>36.42</v>
      </c>
      <c r="D2468" s="1">
        <f>IFERROR(__xludf.DUMMYFUNCTION("""COMPUTED_VALUE"""),35.47)</f>
        <v>35.47</v>
      </c>
      <c r="E2468" s="1">
        <f>IFERROR(__xludf.DUMMYFUNCTION("""COMPUTED_VALUE"""),35.88)</f>
        <v>35.88</v>
      </c>
      <c r="F2468" s="1">
        <f>IFERROR(__xludf.DUMMYFUNCTION("""COMPUTED_VALUE"""),199148.0)</f>
        <v>199148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IFERROR(__xludf.DUMMYFUNCTION("""COMPUTED_VALUE"""),35.89)</f>
        <v>35.89</v>
      </c>
      <c r="C2469" s="1">
        <f>IFERROR(__xludf.DUMMYFUNCTION("""COMPUTED_VALUE"""),36.34)</f>
        <v>36.34</v>
      </c>
      <c r="D2469" s="1">
        <f>IFERROR(__xludf.DUMMYFUNCTION("""COMPUTED_VALUE"""),35.48)</f>
        <v>35.48</v>
      </c>
      <c r="E2469" s="1">
        <f>IFERROR(__xludf.DUMMYFUNCTION("""COMPUTED_VALUE"""),35.95)</f>
        <v>35.95</v>
      </c>
      <c r="F2469" s="1">
        <f>IFERROR(__xludf.DUMMYFUNCTION("""COMPUTED_VALUE"""),263132.0)</f>
        <v>263132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IFERROR(__xludf.DUMMYFUNCTION("""COMPUTED_VALUE"""),36.0)</f>
        <v>36</v>
      </c>
      <c r="C2470" s="1">
        <f>IFERROR(__xludf.DUMMYFUNCTION("""COMPUTED_VALUE"""),36.0)</f>
        <v>36</v>
      </c>
      <c r="D2470" s="1">
        <f>IFERROR(__xludf.DUMMYFUNCTION("""COMPUTED_VALUE"""),35.68)</f>
        <v>35.68</v>
      </c>
      <c r="E2470" s="1">
        <f>IFERROR(__xludf.DUMMYFUNCTION("""COMPUTED_VALUE"""),35.89)</f>
        <v>35.89</v>
      </c>
      <c r="F2470" s="1">
        <f>IFERROR(__xludf.DUMMYFUNCTION("""COMPUTED_VALUE"""),193873.0)</f>
        <v>193873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IFERROR(__xludf.DUMMYFUNCTION("""COMPUTED_VALUE"""),35.89)</f>
        <v>35.89</v>
      </c>
      <c r="C2471" s="1">
        <f>IFERROR(__xludf.DUMMYFUNCTION("""COMPUTED_VALUE"""),35.89)</f>
        <v>35.89</v>
      </c>
      <c r="D2471" s="1">
        <f>IFERROR(__xludf.DUMMYFUNCTION("""COMPUTED_VALUE"""),35.3)</f>
        <v>35.3</v>
      </c>
      <c r="E2471" s="1">
        <f>IFERROR(__xludf.DUMMYFUNCTION("""COMPUTED_VALUE"""),35.47)</f>
        <v>35.47</v>
      </c>
      <c r="F2471" s="1">
        <f>IFERROR(__xludf.DUMMYFUNCTION("""COMPUTED_VALUE"""),199589.0)</f>
        <v>199589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IFERROR(__xludf.DUMMYFUNCTION("""COMPUTED_VALUE"""),35.46)</f>
        <v>35.46</v>
      </c>
      <c r="C2472" s="1">
        <f>IFERROR(__xludf.DUMMYFUNCTION("""COMPUTED_VALUE"""),35.96)</f>
        <v>35.96</v>
      </c>
      <c r="D2472" s="1">
        <f>IFERROR(__xludf.DUMMYFUNCTION("""COMPUTED_VALUE"""),35.45)</f>
        <v>35.45</v>
      </c>
      <c r="E2472" s="1">
        <f>IFERROR(__xludf.DUMMYFUNCTION("""COMPUTED_VALUE"""),35.83)</f>
        <v>35.83</v>
      </c>
      <c r="F2472" s="1">
        <f>IFERROR(__xludf.DUMMYFUNCTION("""COMPUTED_VALUE"""),188102.0)</f>
        <v>188102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IFERROR(__xludf.DUMMYFUNCTION("""COMPUTED_VALUE"""),35.99)</f>
        <v>35.99</v>
      </c>
      <c r="C2473" s="1">
        <f>IFERROR(__xludf.DUMMYFUNCTION("""COMPUTED_VALUE"""),36.4)</f>
        <v>36.4</v>
      </c>
      <c r="D2473" s="1">
        <f>IFERROR(__xludf.DUMMYFUNCTION("""COMPUTED_VALUE"""),35.96)</f>
        <v>35.96</v>
      </c>
      <c r="E2473" s="1">
        <f>IFERROR(__xludf.DUMMYFUNCTION("""COMPUTED_VALUE"""),36.31)</f>
        <v>36.31</v>
      </c>
      <c r="F2473" s="1">
        <f>IFERROR(__xludf.DUMMYFUNCTION("""COMPUTED_VALUE"""),154879.0)</f>
        <v>154879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IFERROR(__xludf.DUMMYFUNCTION("""COMPUTED_VALUE"""),36.26)</f>
        <v>36.26</v>
      </c>
      <c r="C2474" s="1">
        <f>IFERROR(__xludf.DUMMYFUNCTION("""COMPUTED_VALUE"""),36.74)</f>
        <v>36.74</v>
      </c>
      <c r="D2474" s="1">
        <f>IFERROR(__xludf.DUMMYFUNCTION("""COMPUTED_VALUE"""),36.12)</f>
        <v>36.12</v>
      </c>
      <c r="E2474" s="1">
        <f>IFERROR(__xludf.DUMMYFUNCTION("""COMPUTED_VALUE"""),36.58)</f>
        <v>36.58</v>
      </c>
      <c r="F2474" s="1">
        <f>IFERROR(__xludf.DUMMYFUNCTION("""COMPUTED_VALUE"""),332201.0)</f>
        <v>332201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IFERROR(__xludf.DUMMYFUNCTION("""COMPUTED_VALUE"""),36.59)</f>
        <v>36.59</v>
      </c>
      <c r="C2475" s="1">
        <f>IFERROR(__xludf.DUMMYFUNCTION("""COMPUTED_VALUE"""),36.59)</f>
        <v>36.59</v>
      </c>
      <c r="D2475" s="1">
        <f>IFERROR(__xludf.DUMMYFUNCTION("""COMPUTED_VALUE"""),35.99)</f>
        <v>35.99</v>
      </c>
      <c r="E2475" s="1">
        <f>IFERROR(__xludf.DUMMYFUNCTION("""COMPUTED_VALUE"""),36.21)</f>
        <v>36.21</v>
      </c>
      <c r="F2475" s="1">
        <f>IFERROR(__xludf.DUMMYFUNCTION("""COMPUTED_VALUE"""),172839.0)</f>
        <v>172839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IFERROR(__xludf.DUMMYFUNCTION("""COMPUTED_VALUE"""),35.93)</f>
        <v>35.93</v>
      </c>
      <c r="C2476" s="1">
        <f>IFERROR(__xludf.DUMMYFUNCTION("""COMPUTED_VALUE"""),36.49)</f>
        <v>36.49</v>
      </c>
      <c r="D2476" s="1">
        <f>IFERROR(__xludf.DUMMYFUNCTION("""COMPUTED_VALUE"""),35.13)</f>
        <v>35.13</v>
      </c>
      <c r="E2476" s="1">
        <f>IFERROR(__xludf.DUMMYFUNCTION("""COMPUTED_VALUE"""),35.57)</f>
        <v>35.57</v>
      </c>
      <c r="F2476" s="1">
        <f>IFERROR(__xludf.DUMMYFUNCTION("""COMPUTED_VALUE"""),296284.0)</f>
        <v>296284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IFERROR(__xludf.DUMMYFUNCTION("""COMPUTED_VALUE"""),35.82)</f>
        <v>35.82</v>
      </c>
      <c r="C2477" s="1">
        <f>IFERROR(__xludf.DUMMYFUNCTION("""COMPUTED_VALUE"""),36.24)</f>
        <v>36.24</v>
      </c>
      <c r="D2477" s="1">
        <f>IFERROR(__xludf.DUMMYFUNCTION("""COMPUTED_VALUE"""),35.75)</f>
        <v>35.75</v>
      </c>
      <c r="E2477" s="1">
        <f>IFERROR(__xludf.DUMMYFUNCTION("""COMPUTED_VALUE"""),36.23)</f>
        <v>36.23</v>
      </c>
      <c r="F2477" s="1">
        <f>IFERROR(__xludf.DUMMYFUNCTION("""COMPUTED_VALUE"""),183535.0)</f>
        <v>183535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IFERROR(__xludf.DUMMYFUNCTION("""COMPUTED_VALUE"""),36.5)</f>
        <v>36.5</v>
      </c>
      <c r="C2478" s="1">
        <f>IFERROR(__xludf.DUMMYFUNCTION("""COMPUTED_VALUE"""),36.85)</f>
        <v>36.85</v>
      </c>
      <c r="D2478" s="1">
        <f>IFERROR(__xludf.DUMMYFUNCTION("""COMPUTED_VALUE"""),36.39)</f>
        <v>36.39</v>
      </c>
      <c r="E2478" s="1">
        <f>IFERROR(__xludf.DUMMYFUNCTION("""COMPUTED_VALUE"""),36.8)</f>
        <v>36.8</v>
      </c>
      <c r="F2478" s="1">
        <f>IFERROR(__xludf.DUMMYFUNCTION("""COMPUTED_VALUE"""),228678.0)</f>
        <v>228678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IFERROR(__xludf.DUMMYFUNCTION("""COMPUTED_VALUE"""),37.0)</f>
        <v>37</v>
      </c>
      <c r="C2479" s="1">
        <f>IFERROR(__xludf.DUMMYFUNCTION("""COMPUTED_VALUE"""),37.32)</f>
        <v>37.32</v>
      </c>
      <c r="D2479" s="1">
        <f>IFERROR(__xludf.DUMMYFUNCTION("""COMPUTED_VALUE"""),36.85)</f>
        <v>36.85</v>
      </c>
      <c r="E2479" s="1">
        <f>IFERROR(__xludf.DUMMYFUNCTION("""COMPUTED_VALUE"""),37.19)</f>
        <v>37.19</v>
      </c>
      <c r="F2479" s="1">
        <f>IFERROR(__xludf.DUMMYFUNCTION("""COMPUTED_VALUE"""),239712.0)</f>
        <v>239712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IFERROR(__xludf.DUMMYFUNCTION("""COMPUTED_VALUE"""),37.09)</f>
        <v>37.09</v>
      </c>
      <c r="C2480" s="1">
        <f>IFERROR(__xludf.DUMMYFUNCTION("""COMPUTED_VALUE"""),37.13)</f>
        <v>37.13</v>
      </c>
      <c r="D2480" s="1">
        <f>IFERROR(__xludf.DUMMYFUNCTION("""COMPUTED_VALUE"""),36.75)</f>
        <v>36.75</v>
      </c>
      <c r="E2480" s="1">
        <f>IFERROR(__xludf.DUMMYFUNCTION("""COMPUTED_VALUE"""),37.06)</f>
        <v>37.06</v>
      </c>
      <c r="F2480" s="1">
        <f>IFERROR(__xludf.DUMMYFUNCTION("""COMPUTED_VALUE"""),193378.0)</f>
        <v>193378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IFERROR(__xludf.DUMMYFUNCTION("""COMPUTED_VALUE"""),37.38)</f>
        <v>37.38</v>
      </c>
      <c r="C2481" s="1">
        <f>IFERROR(__xludf.DUMMYFUNCTION("""COMPUTED_VALUE"""),37.75)</f>
        <v>37.75</v>
      </c>
      <c r="D2481" s="1">
        <f>IFERROR(__xludf.DUMMYFUNCTION("""COMPUTED_VALUE"""),37.09)</f>
        <v>37.09</v>
      </c>
      <c r="E2481" s="1">
        <f>IFERROR(__xludf.DUMMYFUNCTION("""COMPUTED_VALUE"""),37.18)</f>
        <v>37.18</v>
      </c>
      <c r="F2481" s="1">
        <f>IFERROR(__xludf.DUMMYFUNCTION("""COMPUTED_VALUE"""),235214.0)</f>
        <v>235214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IFERROR(__xludf.DUMMYFUNCTION("""COMPUTED_VALUE"""),37.02)</f>
        <v>37.02</v>
      </c>
      <c r="C2482" s="1">
        <f>IFERROR(__xludf.DUMMYFUNCTION("""COMPUTED_VALUE"""),37.35)</f>
        <v>37.35</v>
      </c>
      <c r="D2482" s="1">
        <f>IFERROR(__xludf.DUMMYFUNCTION("""COMPUTED_VALUE"""),36.89)</f>
        <v>36.89</v>
      </c>
      <c r="E2482" s="1">
        <f>IFERROR(__xludf.DUMMYFUNCTION("""COMPUTED_VALUE"""),37.1)</f>
        <v>37.1</v>
      </c>
      <c r="F2482" s="1">
        <f>IFERROR(__xludf.DUMMYFUNCTION("""COMPUTED_VALUE"""),146885.0)</f>
        <v>146885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IFERROR(__xludf.DUMMYFUNCTION("""COMPUTED_VALUE"""),36.88)</f>
        <v>36.88</v>
      </c>
      <c r="C2483" s="1">
        <f>IFERROR(__xludf.DUMMYFUNCTION("""COMPUTED_VALUE"""),37.18)</f>
        <v>37.18</v>
      </c>
      <c r="D2483" s="1">
        <f>IFERROR(__xludf.DUMMYFUNCTION("""COMPUTED_VALUE"""),36.7)</f>
        <v>36.7</v>
      </c>
      <c r="E2483" s="1">
        <f>IFERROR(__xludf.DUMMYFUNCTION("""COMPUTED_VALUE"""),37.08)</f>
        <v>37.08</v>
      </c>
      <c r="F2483" s="1">
        <f>IFERROR(__xludf.DUMMYFUNCTION("""COMPUTED_VALUE"""),163955.0)</f>
        <v>163955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IFERROR(__xludf.DUMMYFUNCTION("""COMPUTED_VALUE"""),37.22)</f>
        <v>37.22</v>
      </c>
      <c r="C2484" s="1">
        <f>IFERROR(__xludf.DUMMYFUNCTION("""COMPUTED_VALUE"""),37.41)</f>
        <v>37.41</v>
      </c>
      <c r="D2484" s="1">
        <f>IFERROR(__xludf.DUMMYFUNCTION("""COMPUTED_VALUE"""),36.98)</f>
        <v>36.98</v>
      </c>
      <c r="E2484" s="1">
        <f>IFERROR(__xludf.DUMMYFUNCTION("""COMPUTED_VALUE"""),37.17)</f>
        <v>37.17</v>
      </c>
      <c r="F2484" s="1">
        <f>IFERROR(__xludf.DUMMYFUNCTION("""COMPUTED_VALUE"""),177480.0)</f>
        <v>177480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IFERROR(__xludf.DUMMYFUNCTION("""COMPUTED_VALUE"""),36.77)</f>
        <v>36.77</v>
      </c>
      <c r="C2485" s="1">
        <f>IFERROR(__xludf.DUMMYFUNCTION("""COMPUTED_VALUE"""),37.31)</f>
        <v>37.31</v>
      </c>
      <c r="D2485" s="1">
        <f>IFERROR(__xludf.DUMMYFUNCTION("""COMPUTED_VALUE"""),36.49)</f>
        <v>36.49</v>
      </c>
      <c r="E2485" s="1">
        <f>IFERROR(__xludf.DUMMYFUNCTION("""COMPUTED_VALUE"""),37.08)</f>
        <v>37.08</v>
      </c>
      <c r="F2485" s="1">
        <f>IFERROR(__xludf.DUMMYFUNCTION("""COMPUTED_VALUE"""),213787.0)</f>
        <v>213787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IFERROR(__xludf.DUMMYFUNCTION("""COMPUTED_VALUE"""),37.03)</f>
        <v>37.03</v>
      </c>
      <c r="C2486" s="1">
        <f>IFERROR(__xludf.DUMMYFUNCTION("""COMPUTED_VALUE"""),37.03)</f>
        <v>37.03</v>
      </c>
      <c r="D2486" s="1">
        <f>IFERROR(__xludf.DUMMYFUNCTION("""COMPUTED_VALUE"""),36.66)</f>
        <v>36.66</v>
      </c>
      <c r="E2486" s="1">
        <f>IFERROR(__xludf.DUMMYFUNCTION("""COMPUTED_VALUE"""),36.82)</f>
        <v>36.82</v>
      </c>
      <c r="F2486" s="1">
        <f>IFERROR(__xludf.DUMMYFUNCTION("""COMPUTED_VALUE"""),202403.0)</f>
        <v>202403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IFERROR(__xludf.DUMMYFUNCTION("""COMPUTED_VALUE"""),37.06)</f>
        <v>37.06</v>
      </c>
      <c r="C2487" s="1">
        <f>IFERROR(__xludf.DUMMYFUNCTION("""COMPUTED_VALUE"""),37.06)</f>
        <v>37.06</v>
      </c>
      <c r="D2487" s="1">
        <f>IFERROR(__xludf.DUMMYFUNCTION("""COMPUTED_VALUE"""),36.63)</f>
        <v>36.63</v>
      </c>
      <c r="E2487" s="1">
        <f>IFERROR(__xludf.DUMMYFUNCTION("""COMPUTED_VALUE"""),36.78)</f>
        <v>36.78</v>
      </c>
      <c r="F2487" s="1">
        <f>IFERROR(__xludf.DUMMYFUNCTION("""COMPUTED_VALUE"""),207082.0)</f>
        <v>207082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IFERROR(__xludf.DUMMYFUNCTION("""COMPUTED_VALUE"""),36.53)</f>
        <v>36.53</v>
      </c>
      <c r="C2488" s="1">
        <f>IFERROR(__xludf.DUMMYFUNCTION("""COMPUTED_VALUE"""),36.74)</f>
        <v>36.74</v>
      </c>
      <c r="D2488" s="1">
        <f>IFERROR(__xludf.DUMMYFUNCTION("""COMPUTED_VALUE"""),36.44)</f>
        <v>36.44</v>
      </c>
      <c r="E2488" s="1">
        <f>IFERROR(__xludf.DUMMYFUNCTION("""COMPUTED_VALUE"""),36.7)</f>
        <v>36.7</v>
      </c>
      <c r="F2488" s="1">
        <f>IFERROR(__xludf.DUMMYFUNCTION("""COMPUTED_VALUE"""),173599.0)</f>
        <v>173599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IFERROR(__xludf.DUMMYFUNCTION("""COMPUTED_VALUE"""),36.85)</f>
        <v>36.85</v>
      </c>
      <c r="C2489" s="1">
        <f>IFERROR(__xludf.DUMMYFUNCTION("""COMPUTED_VALUE"""),37.21)</f>
        <v>37.21</v>
      </c>
      <c r="D2489" s="1">
        <f>IFERROR(__xludf.DUMMYFUNCTION("""COMPUTED_VALUE"""),36.74)</f>
        <v>36.74</v>
      </c>
      <c r="E2489" s="1">
        <f>IFERROR(__xludf.DUMMYFUNCTION("""COMPUTED_VALUE"""),37.11)</f>
        <v>37.11</v>
      </c>
      <c r="F2489" s="1">
        <f>IFERROR(__xludf.DUMMYFUNCTION("""COMPUTED_VALUE"""),262734.0)</f>
        <v>262734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IFERROR(__xludf.DUMMYFUNCTION("""COMPUTED_VALUE"""),36.81)</f>
        <v>36.81</v>
      </c>
      <c r="C2490" s="1">
        <f>IFERROR(__xludf.DUMMYFUNCTION("""COMPUTED_VALUE"""),37.05)</f>
        <v>37.05</v>
      </c>
      <c r="D2490" s="1">
        <f>IFERROR(__xludf.DUMMYFUNCTION("""COMPUTED_VALUE"""),36.44)</f>
        <v>36.44</v>
      </c>
      <c r="E2490" s="1">
        <f>IFERROR(__xludf.DUMMYFUNCTION("""COMPUTED_VALUE"""),36.59)</f>
        <v>36.59</v>
      </c>
      <c r="F2490" s="1">
        <f>IFERROR(__xludf.DUMMYFUNCTION("""COMPUTED_VALUE"""),388276.0)</f>
        <v>388276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IFERROR(__xludf.DUMMYFUNCTION("""COMPUTED_VALUE"""),36.89)</f>
        <v>36.89</v>
      </c>
      <c r="C2491" s="1">
        <f>IFERROR(__xludf.DUMMYFUNCTION("""COMPUTED_VALUE"""),36.89)</f>
        <v>36.89</v>
      </c>
      <c r="D2491" s="1">
        <f>IFERROR(__xludf.DUMMYFUNCTION("""COMPUTED_VALUE"""),36.23)</f>
        <v>36.23</v>
      </c>
      <c r="E2491" s="1">
        <f>IFERROR(__xludf.DUMMYFUNCTION("""COMPUTED_VALUE"""),36.73)</f>
        <v>36.73</v>
      </c>
      <c r="F2491" s="1">
        <f>IFERROR(__xludf.DUMMYFUNCTION("""COMPUTED_VALUE"""),306297.0)</f>
        <v>306297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IFERROR(__xludf.DUMMYFUNCTION("""COMPUTED_VALUE"""),36.94)</f>
        <v>36.94</v>
      </c>
      <c r="C2492" s="1">
        <f>IFERROR(__xludf.DUMMYFUNCTION("""COMPUTED_VALUE"""),37.22)</f>
        <v>37.22</v>
      </c>
      <c r="D2492" s="1">
        <f>IFERROR(__xludf.DUMMYFUNCTION("""COMPUTED_VALUE"""),36.85)</f>
        <v>36.85</v>
      </c>
      <c r="E2492" s="1">
        <f>IFERROR(__xludf.DUMMYFUNCTION("""COMPUTED_VALUE"""),37.16)</f>
        <v>37.16</v>
      </c>
      <c r="F2492" s="1">
        <f>IFERROR(__xludf.DUMMYFUNCTION("""COMPUTED_VALUE"""),351004.0)</f>
        <v>351004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IFERROR(__xludf.DUMMYFUNCTION("""COMPUTED_VALUE"""),37.16)</f>
        <v>37.16</v>
      </c>
      <c r="C2493" s="1">
        <f>IFERROR(__xludf.DUMMYFUNCTION("""COMPUTED_VALUE"""),37.56)</f>
        <v>37.56</v>
      </c>
      <c r="D2493" s="1">
        <f>IFERROR(__xludf.DUMMYFUNCTION("""COMPUTED_VALUE"""),36.93)</f>
        <v>36.93</v>
      </c>
      <c r="E2493" s="1">
        <f>IFERROR(__xludf.DUMMYFUNCTION("""COMPUTED_VALUE"""),37.29)</f>
        <v>37.29</v>
      </c>
      <c r="F2493" s="1">
        <f>IFERROR(__xludf.DUMMYFUNCTION("""COMPUTED_VALUE"""),287753.0)</f>
        <v>287753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IFERROR(__xludf.DUMMYFUNCTION("""COMPUTED_VALUE"""),37.15)</f>
        <v>37.15</v>
      </c>
      <c r="C2494" s="1">
        <f>IFERROR(__xludf.DUMMYFUNCTION("""COMPUTED_VALUE"""),37.28)</f>
        <v>37.28</v>
      </c>
      <c r="D2494" s="1">
        <f>IFERROR(__xludf.DUMMYFUNCTION("""COMPUTED_VALUE"""),36.95)</f>
        <v>36.95</v>
      </c>
      <c r="E2494" s="1">
        <f>IFERROR(__xludf.DUMMYFUNCTION("""COMPUTED_VALUE"""),36.99)</f>
        <v>36.99</v>
      </c>
      <c r="F2494" s="1">
        <f>IFERROR(__xludf.DUMMYFUNCTION("""COMPUTED_VALUE"""),249408.0)</f>
        <v>249408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IFERROR(__xludf.DUMMYFUNCTION("""COMPUTED_VALUE"""),37.18)</f>
        <v>37.18</v>
      </c>
      <c r="C2495" s="1">
        <f>IFERROR(__xludf.DUMMYFUNCTION("""COMPUTED_VALUE"""),37.62)</f>
        <v>37.62</v>
      </c>
      <c r="D2495" s="1">
        <f>IFERROR(__xludf.DUMMYFUNCTION("""COMPUTED_VALUE"""),37.16)</f>
        <v>37.16</v>
      </c>
      <c r="E2495" s="1">
        <f>IFERROR(__xludf.DUMMYFUNCTION("""COMPUTED_VALUE"""),37.56)</f>
        <v>37.56</v>
      </c>
      <c r="F2495" s="1">
        <f>IFERROR(__xludf.DUMMYFUNCTION("""COMPUTED_VALUE"""),185513.0)</f>
        <v>185513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IFERROR(__xludf.DUMMYFUNCTION("""COMPUTED_VALUE"""),36.98)</f>
        <v>36.98</v>
      </c>
      <c r="C2496" s="1">
        <f>IFERROR(__xludf.DUMMYFUNCTION("""COMPUTED_VALUE"""),37.23)</f>
        <v>37.23</v>
      </c>
      <c r="D2496" s="1">
        <f>IFERROR(__xludf.DUMMYFUNCTION("""COMPUTED_VALUE"""),36.76)</f>
        <v>36.76</v>
      </c>
      <c r="E2496" s="1">
        <f>IFERROR(__xludf.DUMMYFUNCTION("""COMPUTED_VALUE"""),36.82)</f>
        <v>36.82</v>
      </c>
      <c r="F2496" s="1">
        <f>IFERROR(__xludf.DUMMYFUNCTION("""COMPUTED_VALUE"""),121476.0)</f>
        <v>121476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IFERROR(__xludf.DUMMYFUNCTION("""COMPUTED_VALUE"""),37.06)</f>
        <v>37.06</v>
      </c>
      <c r="C2497" s="1">
        <f>IFERROR(__xludf.DUMMYFUNCTION("""COMPUTED_VALUE"""),37.18)</f>
        <v>37.18</v>
      </c>
      <c r="D2497" s="1">
        <f>IFERROR(__xludf.DUMMYFUNCTION("""COMPUTED_VALUE"""),36.56)</f>
        <v>36.56</v>
      </c>
      <c r="E2497" s="1">
        <f>IFERROR(__xludf.DUMMYFUNCTION("""COMPUTED_VALUE"""),36.61)</f>
        <v>36.61</v>
      </c>
      <c r="F2497" s="1">
        <f>IFERROR(__xludf.DUMMYFUNCTION("""COMPUTED_VALUE"""),227837.0)</f>
        <v>227837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IFERROR(__xludf.DUMMYFUNCTION("""COMPUTED_VALUE"""),36.13)</f>
        <v>36.13</v>
      </c>
      <c r="C2498" s="1">
        <f>IFERROR(__xludf.DUMMYFUNCTION("""COMPUTED_VALUE"""),36.17)</f>
        <v>36.17</v>
      </c>
      <c r="D2498" s="1">
        <f>IFERROR(__xludf.DUMMYFUNCTION("""COMPUTED_VALUE"""),35.75)</f>
        <v>35.75</v>
      </c>
      <c r="E2498" s="1">
        <f>IFERROR(__xludf.DUMMYFUNCTION("""COMPUTED_VALUE"""),36.09)</f>
        <v>36.09</v>
      </c>
      <c r="F2498" s="1">
        <f>IFERROR(__xludf.DUMMYFUNCTION("""COMPUTED_VALUE"""),163376.0)</f>
        <v>163376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IFERROR(__xludf.DUMMYFUNCTION("""COMPUTED_VALUE"""),36.14)</f>
        <v>36.14</v>
      </c>
      <c r="C2499" s="1">
        <f>IFERROR(__xludf.DUMMYFUNCTION("""COMPUTED_VALUE"""),36.75)</f>
        <v>36.75</v>
      </c>
      <c r="D2499" s="1">
        <f>IFERROR(__xludf.DUMMYFUNCTION("""COMPUTED_VALUE"""),35.95)</f>
        <v>35.95</v>
      </c>
      <c r="E2499" s="1">
        <f>IFERROR(__xludf.DUMMYFUNCTION("""COMPUTED_VALUE"""),36.66)</f>
        <v>36.66</v>
      </c>
      <c r="F2499" s="1">
        <f>IFERROR(__xludf.DUMMYFUNCTION("""COMPUTED_VALUE"""),284420.0)</f>
        <v>284420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IFERROR(__xludf.DUMMYFUNCTION("""COMPUTED_VALUE"""),36.86)</f>
        <v>36.86</v>
      </c>
      <c r="C2500" s="1">
        <f>IFERROR(__xludf.DUMMYFUNCTION("""COMPUTED_VALUE"""),36.99)</f>
        <v>36.99</v>
      </c>
      <c r="D2500" s="1">
        <f>IFERROR(__xludf.DUMMYFUNCTION("""COMPUTED_VALUE"""),36.64)</f>
        <v>36.64</v>
      </c>
      <c r="E2500" s="1">
        <f>IFERROR(__xludf.DUMMYFUNCTION("""COMPUTED_VALUE"""),36.95)</f>
        <v>36.95</v>
      </c>
      <c r="F2500" s="1">
        <f>IFERROR(__xludf.DUMMYFUNCTION("""COMPUTED_VALUE"""),216760.0)</f>
        <v>216760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IFERROR(__xludf.DUMMYFUNCTION("""COMPUTED_VALUE"""),37.32)</f>
        <v>37.32</v>
      </c>
      <c r="C2501" s="1">
        <f>IFERROR(__xludf.DUMMYFUNCTION("""COMPUTED_VALUE"""),37.7)</f>
        <v>37.7</v>
      </c>
      <c r="D2501" s="1">
        <f>IFERROR(__xludf.DUMMYFUNCTION("""COMPUTED_VALUE"""),37.16)</f>
        <v>37.16</v>
      </c>
      <c r="E2501" s="1">
        <f>IFERROR(__xludf.DUMMYFUNCTION("""COMPUTED_VALUE"""),37.5)</f>
        <v>37.5</v>
      </c>
      <c r="F2501" s="1">
        <f>IFERROR(__xludf.DUMMYFUNCTION("""COMPUTED_VALUE"""),361236.0)</f>
        <v>361236</v>
      </c>
    </row>
    <row r="2502">
      <c r="A2502" s="2">
        <f>IFERROR(__xludf.DUMMYFUNCTION("""COMPUTED_VALUE"""),43809.66666666667)</f>
        <v>43809.66667</v>
      </c>
      <c r="B2502" s="1">
        <f>IFERROR(__xludf.DUMMYFUNCTION("""COMPUTED_VALUE"""),37.4)</f>
        <v>37.4</v>
      </c>
      <c r="C2502" s="1">
        <f>IFERROR(__xludf.DUMMYFUNCTION("""COMPUTED_VALUE"""),37.56)</f>
        <v>37.56</v>
      </c>
      <c r="D2502" s="1">
        <f>IFERROR(__xludf.DUMMYFUNCTION("""COMPUTED_VALUE"""),37.02)</f>
        <v>37.02</v>
      </c>
      <c r="E2502" s="1">
        <f>IFERROR(__xludf.DUMMYFUNCTION("""COMPUTED_VALUE"""),37.44)</f>
        <v>37.44</v>
      </c>
      <c r="F2502" s="1">
        <f>IFERROR(__xludf.DUMMYFUNCTION("""COMPUTED_VALUE"""),169096.0)</f>
        <v>169096</v>
      </c>
    </row>
    <row r="2503">
      <c r="A2503" s="2">
        <f>IFERROR(__xludf.DUMMYFUNCTION("""COMPUTED_VALUE"""),43810.66666666667)</f>
        <v>43810.66667</v>
      </c>
      <c r="B2503" s="1">
        <f>IFERROR(__xludf.DUMMYFUNCTION("""COMPUTED_VALUE"""),37.4)</f>
        <v>37.4</v>
      </c>
      <c r="C2503" s="1">
        <f>IFERROR(__xludf.DUMMYFUNCTION("""COMPUTED_VALUE"""),37.56)</f>
        <v>37.56</v>
      </c>
      <c r="D2503" s="1">
        <f>IFERROR(__xludf.DUMMYFUNCTION("""COMPUTED_VALUE"""),37.21)</f>
        <v>37.21</v>
      </c>
      <c r="E2503" s="1">
        <f>IFERROR(__xludf.DUMMYFUNCTION("""COMPUTED_VALUE"""),37.25)</f>
        <v>37.25</v>
      </c>
      <c r="F2503" s="1">
        <f>IFERROR(__xludf.DUMMYFUNCTION("""COMPUTED_VALUE"""),154875.0)</f>
        <v>154875</v>
      </c>
    </row>
    <row r="2504">
      <c r="A2504" s="2">
        <f>IFERROR(__xludf.DUMMYFUNCTION("""COMPUTED_VALUE"""),43811.66666666667)</f>
        <v>43811.66667</v>
      </c>
      <c r="B2504" s="1">
        <f>IFERROR(__xludf.DUMMYFUNCTION("""COMPUTED_VALUE"""),37.46)</f>
        <v>37.46</v>
      </c>
      <c r="C2504" s="1">
        <f>IFERROR(__xludf.DUMMYFUNCTION("""COMPUTED_VALUE"""),38.28)</f>
        <v>38.28</v>
      </c>
      <c r="D2504" s="1">
        <f>IFERROR(__xludf.DUMMYFUNCTION("""COMPUTED_VALUE"""),37.28)</f>
        <v>37.28</v>
      </c>
      <c r="E2504" s="1">
        <f>IFERROR(__xludf.DUMMYFUNCTION("""COMPUTED_VALUE"""),38.13)</f>
        <v>38.13</v>
      </c>
      <c r="F2504" s="1">
        <f>IFERROR(__xludf.DUMMYFUNCTION("""COMPUTED_VALUE"""),254014.0)</f>
        <v>254014</v>
      </c>
    </row>
    <row r="2505">
      <c r="A2505" s="2">
        <f>IFERROR(__xludf.DUMMYFUNCTION("""COMPUTED_VALUE"""),43812.66666666667)</f>
        <v>43812.66667</v>
      </c>
      <c r="B2505" s="1">
        <f>IFERROR(__xludf.DUMMYFUNCTION("""COMPUTED_VALUE"""),37.96)</f>
        <v>37.96</v>
      </c>
      <c r="C2505" s="1">
        <f>IFERROR(__xludf.DUMMYFUNCTION("""COMPUTED_VALUE"""),38.26)</f>
        <v>38.26</v>
      </c>
      <c r="D2505" s="1">
        <f>IFERROR(__xludf.DUMMYFUNCTION("""COMPUTED_VALUE"""),37.62)</f>
        <v>37.62</v>
      </c>
      <c r="E2505" s="1">
        <f>IFERROR(__xludf.DUMMYFUNCTION("""COMPUTED_VALUE"""),37.96)</f>
        <v>37.96</v>
      </c>
      <c r="F2505" s="1">
        <f>IFERROR(__xludf.DUMMYFUNCTION("""COMPUTED_VALUE"""),233705.0)</f>
        <v>233705</v>
      </c>
    </row>
    <row r="2506">
      <c r="A2506" s="2">
        <f>IFERROR(__xludf.DUMMYFUNCTION("""COMPUTED_VALUE"""),43815.66666666667)</f>
        <v>43815.66667</v>
      </c>
      <c r="B2506" s="1">
        <f>IFERROR(__xludf.DUMMYFUNCTION("""COMPUTED_VALUE"""),38.33)</f>
        <v>38.33</v>
      </c>
      <c r="C2506" s="1">
        <f>IFERROR(__xludf.DUMMYFUNCTION("""COMPUTED_VALUE"""),38.72)</f>
        <v>38.72</v>
      </c>
      <c r="D2506" s="1">
        <f>IFERROR(__xludf.DUMMYFUNCTION("""COMPUTED_VALUE"""),37.98)</f>
        <v>37.98</v>
      </c>
      <c r="E2506" s="1">
        <f>IFERROR(__xludf.DUMMYFUNCTION("""COMPUTED_VALUE"""),38.3)</f>
        <v>38.3</v>
      </c>
      <c r="F2506" s="1">
        <f>IFERROR(__xludf.DUMMYFUNCTION("""COMPUTED_VALUE"""),339177.0)</f>
        <v>339177</v>
      </c>
    </row>
    <row r="2507">
      <c r="A2507" s="2">
        <f>IFERROR(__xludf.DUMMYFUNCTION("""COMPUTED_VALUE"""),43816.66666666667)</f>
        <v>43816.66667</v>
      </c>
      <c r="B2507" s="1">
        <f>IFERROR(__xludf.DUMMYFUNCTION("""COMPUTED_VALUE"""),38.28)</f>
        <v>38.28</v>
      </c>
      <c r="C2507" s="1">
        <f>IFERROR(__xludf.DUMMYFUNCTION("""COMPUTED_VALUE"""),38.82)</f>
        <v>38.82</v>
      </c>
      <c r="D2507" s="1">
        <f>IFERROR(__xludf.DUMMYFUNCTION("""COMPUTED_VALUE"""),38.13)</f>
        <v>38.13</v>
      </c>
      <c r="E2507" s="1">
        <f>IFERROR(__xludf.DUMMYFUNCTION("""COMPUTED_VALUE"""),38.73)</f>
        <v>38.73</v>
      </c>
      <c r="F2507" s="1">
        <f>IFERROR(__xludf.DUMMYFUNCTION("""COMPUTED_VALUE"""),272745.0)</f>
        <v>272745</v>
      </c>
    </row>
    <row r="2508">
      <c r="A2508" s="2">
        <f>IFERROR(__xludf.DUMMYFUNCTION("""COMPUTED_VALUE"""),43817.66666666667)</f>
        <v>43817.66667</v>
      </c>
      <c r="B2508" s="1">
        <f>IFERROR(__xludf.DUMMYFUNCTION("""COMPUTED_VALUE"""),38.86)</f>
        <v>38.86</v>
      </c>
      <c r="C2508" s="1">
        <f>IFERROR(__xludf.DUMMYFUNCTION("""COMPUTED_VALUE"""),38.86)</f>
        <v>38.86</v>
      </c>
      <c r="D2508" s="1">
        <f>IFERROR(__xludf.DUMMYFUNCTION("""COMPUTED_VALUE"""),38.49)</f>
        <v>38.49</v>
      </c>
      <c r="E2508" s="1">
        <f>IFERROR(__xludf.DUMMYFUNCTION("""COMPUTED_VALUE"""),38.62)</f>
        <v>38.62</v>
      </c>
      <c r="F2508" s="1">
        <f>IFERROR(__xludf.DUMMYFUNCTION("""COMPUTED_VALUE"""),334137.0)</f>
        <v>334137</v>
      </c>
    </row>
    <row r="2509">
      <c r="A2509" s="2">
        <f>IFERROR(__xludf.DUMMYFUNCTION("""COMPUTED_VALUE"""),43818.66666666667)</f>
        <v>43818.66667</v>
      </c>
      <c r="B2509" s="1">
        <f>IFERROR(__xludf.DUMMYFUNCTION("""COMPUTED_VALUE"""),38.76)</f>
        <v>38.76</v>
      </c>
      <c r="C2509" s="1">
        <f>IFERROR(__xludf.DUMMYFUNCTION("""COMPUTED_VALUE"""),38.76)</f>
        <v>38.76</v>
      </c>
      <c r="D2509" s="1">
        <f>IFERROR(__xludf.DUMMYFUNCTION("""COMPUTED_VALUE"""),38.43)</f>
        <v>38.43</v>
      </c>
      <c r="E2509" s="1">
        <f>IFERROR(__xludf.DUMMYFUNCTION("""COMPUTED_VALUE"""),38.59)</f>
        <v>38.59</v>
      </c>
      <c r="F2509" s="1">
        <f>IFERROR(__xludf.DUMMYFUNCTION("""COMPUTED_VALUE"""),198318.0)</f>
        <v>198318</v>
      </c>
    </row>
    <row r="2510">
      <c r="A2510" s="2">
        <f>IFERROR(__xludf.DUMMYFUNCTION("""COMPUTED_VALUE"""),43819.66666666667)</f>
        <v>43819.66667</v>
      </c>
      <c r="B2510" s="1">
        <f>IFERROR(__xludf.DUMMYFUNCTION("""COMPUTED_VALUE"""),38.76)</f>
        <v>38.76</v>
      </c>
      <c r="C2510" s="1">
        <f>IFERROR(__xludf.DUMMYFUNCTION("""COMPUTED_VALUE"""),38.91)</f>
        <v>38.91</v>
      </c>
      <c r="D2510" s="1">
        <f>IFERROR(__xludf.DUMMYFUNCTION("""COMPUTED_VALUE"""),38.53)</f>
        <v>38.53</v>
      </c>
      <c r="E2510" s="1">
        <f>IFERROR(__xludf.DUMMYFUNCTION("""COMPUTED_VALUE"""),38.53)</f>
        <v>38.53</v>
      </c>
      <c r="F2510" s="1">
        <f>IFERROR(__xludf.DUMMYFUNCTION("""COMPUTED_VALUE"""),1039920.0)</f>
        <v>1039920</v>
      </c>
    </row>
    <row r="2511">
      <c r="A2511" s="2">
        <f>IFERROR(__xludf.DUMMYFUNCTION("""COMPUTED_VALUE"""),43822.66666666667)</f>
        <v>43822.66667</v>
      </c>
      <c r="B2511" s="1">
        <f>IFERROR(__xludf.DUMMYFUNCTION("""COMPUTED_VALUE"""),38.72)</f>
        <v>38.72</v>
      </c>
      <c r="C2511" s="1">
        <f>IFERROR(__xludf.DUMMYFUNCTION("""COMPUTED_VALUE"""),38.72)</f>
        <v>38.72</v>
      </c>
      <c r="D2511" s="1">
        <f>IFERROR(__xludf.DUMMYFUNCTION("""COMPUTED_VALUE"""),38.08)</f>
        <v>38.08</v>
      </c>
      <c r="E2511" s="1">
        <f>IFERROR(__xludf.DUMMYFUNCTION("""COMPUTED_VALUE"""),38.27)</f>
        <v>38.27</v>
      </c>
      <c r="F2511" s="1">
        <f>IFERROR(__xludf.DUMMYFUNCTION("""COMPUTED_VALUE"""),177914.0)</f>
        <v>177914</v>
      </c>
    </row>
    <row r="2512">
      <c r="A2512" s="2">
        <f>IFERROR(__xludf.DUMMYFUNCTION("""COMPUTED_VALUE"""),43823.54166666667)</f>
        <v>43823.54167</v>
      </c>
      <c r="B2512" s="1">
        <f>IFERROR(__xludf.DUMMYFUNCTION("""COMPUTED_VALUE"""),38.11)</f>
        <v>38.11</v>
      </c>
      <c r="C2512" s="1">
        <f>IFERROR(__xludf.DUMMYFUNCTION("""COMPUTED_VALUE"""),38.3)</f>
        <v>38.3</v>
      </c>
      <c r="D2512" s="1">
        <f>IFERROR(__xludf.DUMMYFUNCTION("""COMPUTED_VALUE"""),37.94)</f>
        <v>37.94</v>
      </c>
      <c r="E2512" s="1">
        <f>IFERROR(__xludf.DUMMYFUNCTION("""COMPUTED_VALUE"""),38.25)</f>
        <v>38.25</v>
      </c>
      <c r="F2512" s="1">
        <f>IFERROR(__xludf.DUMMYFUNCTION("""COMPUTED_VALUE"""),85514.0)</f>
        <v>85514</v>
      </c>
    </row>
    <row r="2513">
      <c r="A2513" s="2">
        <f>IFERROR(__xludf.DUMMYFUNCTION("""COMPUTED_VALUE"""),43825.66666666667)</f>
        <v>43825.66667</v>
      </c>
      <c r="B2513" s="1">
        <f>IFERROR(__xludf.DUMMYFUNCTION("""COMPUTED_VALUE"""),38.34)</f>
        <v>38.34</v>
      </c>
      <c r="C2513" s="1">
        <f>IFERROR(__xludf.DUMMYFUNCTION("""COMPUTED_VALUE"""),38.48)</f>
        <v>38.48</v>
      </c>
      <c r="D2513" s="1">
        <f>IFERROR(__xludf.DUMMYFUNCTION("""COMPUTED_VALUE"""),38.16)</f>
        <v>38.16</v>
      </c>
      <c r="E2513" s="1">
        <f>IFERROR(__xludf.DUMMYFUNCTION("""COMPUTED_VALUE"""),38.35)</f>
        <v>38.35</v>
      </c>
      <c r="F2513" s="1">
        <f>IFERROR(__xludf.DUMMYFUNCTION("""COMPUTED_VALUE"""),129005.0)</f>
        <v>129005</v>
      </c>
    </row>
    <row r="2514">
      <c r="A2514" s="2">
        <f>IFERROR(__xludf.DUMMYFUNCTION("""COMPUTED_VALUE"""),43826.66666666667)</f>
        <v>43826.66667</v>
      </c>
      <c r="B2514" s="1">
        <f>IFERROR(__xludf.DUMMYFUNCTION("""COMPUTED_VALUE"""),38.3)</f>
        <v>38.3</v>
      </c>
      <c r="C2514" s="1">
        <f>IFERROR(__xludf.DUMMYFUNCTION("""COMPUTED_VALUE"""),38.38)</f>
        <v>38.38</v>
      </c>
      <c r="D2514" s="1">
        <f>IFERROR(__xludf.DUMMYFUNCTION("""COMPUTED_VALUE"""),38.03)</f>
        <v>38.03</v>
      </c>
      <c r="E2514" s="1">
        <f>IFERROR(__xludf.DUMMYFUNCTION("""COMPUTED_VALUE"""),38.14)</f>
        <v>38.14</v>
      </c>
      <c r="F2514" s="1">
        <f>IFERROR(__xludf.DUMMYFUNCTION("""COMPUTED_VALUE"""),143287.0)</f>
        <v>143287</v>
      </c>
    </row>
    <row r="2515">
      <c r="A2515" s="2">
        <f>IFERROR(__xludf.DUMMYFUNCTION("""COMPUTED_VALUE"""),43829.66666666667)</f>
        <v>43829.66667</v>
      </c>
      <c r="B2515" s="1">
        <f>IFERROR(__xludf.DUMMYFUNCTION("""COMPUTED_VALUE"""),38.34)</f>
        <v>38.34</v>
      </c>
      <c r="C2515" s="1">
        <f>IFERROR(__xludf.DUMMYFUNCTION("""COMPUTED_VALUE"""),38.4)</f>
        <v>38.4</v>
      </c>
      <c r="D2515" s="1">
        <f>IFERROR(__xludf.DUMMYFUNCTION("""COMPUTED_VALUE"""),38.06)</f>
        <v>38.06</v>
      </c>
      <c r="E2515" s="1">
        <f>IFERROR(__xludf.DUMMYFUNCTION("""COMPUTED_VALUE"""),38.13)</f>
        <v>38.13</v>
      </c>
      <c r="F2515" s="1">
        <f>IFERROR(__xludf.DUMMYFUNCTION("""COMPUTED_VALUE"""),184897.0)</f>
        <v>184897</v>
      </c>
    </row>
    <row r="2516">
      <c r="A2516" s="2">
        <f>IFERROR(__xludf.DUMMYFUNCTION("""COMPUTED_VALUE"""),43830.66666666667)</f>
        <v>43830.66667</v>
      </c>
      <c r="B2516" s="1">
        <f>IFERROR(__xludf.DUMMYFUNCTION("""COMPUTED_VALUE"""),38.04)</f>
        <v>38.04</v>
      </c>
      <c r="C2516" s="1">
        <f>IFERROR(__xludf.DUMMYFUNCTION("""COMPUTED_VALUE"""),38.36)</f>
        <v>38.36</v>
      </c>
      <c r="D2516" s="1">
        <f>IFERROR(__xludf.DUMMYFUNCTION("""COMPUTED_VALUE"""),38.01)</f>
        <v>38.01</v>
      </c>
      <c r="E2516" s="1">
        <f>IFERROR(__xludf.DUMMYFUNCTION("""COMPUTED_VALUE"""),38.05)</f>
        <v>38.05</v>
      </c>
      <c r="F2516" s="1">
        <f>IFERROR(__xludf.DUMMYFUNCTION("""COMPUTED_VALUE"""),232432.0)</f>
        <v>232432</v>
      </c>
    </row>
    <row r="2517">
      <c r="A2517" s="2">
        <f>IFERROR(__xludf.DUMMYFUNCTION("""COMPUTED_VALUE"""),43832.66666666667)</f>
        <v>43832.66667</v>
      </c>
      <c r="B2517" s="1">
        <f>IFERROR(__xludf.DUMMYFUNCTION("""COMPUTED_VALUE"""),38.28)</f>
        <v>38.28</v>
      </c>
      <c r="C2517" s="1">
        <f>IFERROR(__xludf.DUMMYFUNCTION("""COMPUTED_VALUE"""),38.38)</f>
        <v>38.38</v>
      </c>
      <c r="D2517" s="1">
        <f>IFERROR(__xludf.DUMMYFUNCTION("""COMPUTED_VALUE"""),37.72)</f>
        <v>37.72</v>
      </c>
      <c r="E2517" s="1">
        <f>IFERROR(__xludf.DUMMYFUNCTION("""COMPUTED_VALUE"""),38.1)</f>
        <v>38.1</v>
      </c>
      <c r="F2517" s="1">
        <f>IFERROR(__xludf.DUMMYFUNCTION("""COMPUTED_VALUE"""),204111.0)</f>
        <v>204111</v>
      </c>
    </row>
    <row r="2518">
      <c r="A2518" s="2">
        <f>IFERROR(__xludf.DUMMYFUNCTION("""COMPUTED_VALUE"""),43833.66666666667)</f>
        <v>43833.66667</v>
      </c>
      <c r="B2518" s="1">
        <f>IFERROR(__xludf.DUMMYFUNCTION("""COMPUTED_VALUE"""),37.42)</f>
        <v>37.42</v>
      </c>
      <c r="C2518" s="1">
        <f>IFERROR(__xludf.DUMMYFUNCTION("""COMPUTED_VALUE"""),37.87)</f>
        <v>37.87</v>
      </c>
      <c r="D2518" s="1">
        <f>IFERROR(__xludf.DUMMYFUNCTION("""COMPUTED_VALUE"""),36.96)</f>
        <v>36.96</v>
      </c>
      <c r="E2518" s="1">
        <f>IFERROR(__xludf.DUMMYFUNCTION("""COMPUTED_VALUE"""),37.77)</f>
        <v>37.77</v>
      </c>
      <c r="F2518" s="1">
        <f>IFERROR(__xludf.DUMMYFUNCTION("""COMPUTED_VALUE"""),249725.0)</f>
        <v>249725</v>
      </c>
    </row>
    <row r="2519">
      <c r="A2519" s="2">
        <f>IFERROR(__xludf.DUMMYFUNCTION("""COMPUTED_VALUE"""),43836.66666666667)</f>
        <v>43836.66667</v>
      </c>
      <c r="B2519" s="1">
        <f>IFERROR(__xludf.DUMMYFUNCTION("""COMPUTED_VALUE"""),37.29)</f>
        <v>37.29</v>
      </c>
      <c r="C2519" s="1">
        <f>IFERROR(__xludf.DUMMYFUNCTION("""COMPUTED_VALUE"""),37.67)</f>
        <v>37.67</v>
      </c>
      <c r="D2519" s="1">
        <f>IFERROR(__xludf.DUMMYFUNCTION("""COMPUTED_VALUE"""),37.14)</f>
        <v>37.14</v>
      </c>
      <c r="E2519" s="1">
        <f>IFERROR(__xludf.DUMMYFUNCTION("""COMPUTED_VALUE"""),37.57)</f>
        <v>37.57</v>
      </c>
      <c r="F2519" s="1">
        <f>IFERROR(__xludf.DUMMYFUNCTION("""COMPUTED_VALUE"""),246096.0)</f>
        <v>246096</v>
      </c>
    </row>
    <row r="2520">
      <c r="A2520" s="2">
        <f>IFERROR(__xludf.DUMMYFUNCTION("""COMPUTED_VALUE"""),43837.66666666667)</f>
        <v>43837.66667</v>
      </c>
      <c r="B2520" s="1">
        <f>IFERROR(__xludf.DUMMYFUNCTION("""COMPUTED_VALUE"""),37.57)</f>
        <v>37.57</v>
      </c>
      <c r="C2520" s="1">
        <f>IFERROR(__xludf.DUMMYFUNCTION("""COMPUTED_VALUE"""),37.6)</f>
        <v>37.6</v>
      </c>
      <c r="D2520" s="1">
        <f>IFERROR(__xludf.DUMMYFUNCTION("""COMPUTED_VALUE"""),37.19)</f>
        <v>37.19</v>
      </c>
      <c r="E2520" s="1">
        <f>IFERROR(__xludf.DUMMYFUNCTION("""COMPUTED_VALUE"""),37.32)</f>
        <v>37.32</v>
      </c>
      <c r="F2520" s="1">
        <f>IFERROR(__xludf.DUMMYFUNCTION("""COMPUTED_VALUE"""),164266.0)</f>
        <v>164266</v>
      </c>
    </row>
    <row r="2521">
      <c r="A2521" s="2">
        <f>IFERROR(__xludf.DUMMYFUNCTION("""COMPUTED_VALUE"""),43838.66666666667)</f>
        <v>43838.66667</v>
      </c>
      <c r="B2521" s="1">
        <f>IFERROR(__xludf.DUMMYFUNCTION("""COMPUTED_VALUE"""),37.24)</f>
        <v>37.24</v>
      </c>
      <c r="C2521" s="1">
        <f>IFERROR(__xludf.DUMMYFUNCTION("""COMPUTED_VALUE"""),37.69)</f>
        <v>37.69</v>
      </c>
      <c r="D2521" s="1">
        <f>IFERROR(__xludf.DUMMYFUNCTION("""COMPUTED_VALUE"""),37.24)</f>
        <v>37.24</v>
      </c>
      <c r="E2521" s="1">
        <f>IFERROR(__xludf.DUMMYFUNCTION("""COMPUTED_VALUE"""),37.55)</f>
        <v>37.55</v>
      </c>
      <c r="F2521" s="1">
        <f>IFERROR(__xludf.DUMMYFUNCTION("""COMPUTED_VALUE"""),157575.0)</f>
        <v>157575</v>
      </c>
    </row>
    <row r="2522">
      <c r="A2522" s="2">
        <f>IFERROR(__xludf.DUMMYFUNCTION("""COMPUTED_VALUE"""),43839.66666666667)</f>
        <v>43839.66667</v>
      </c>
      <c r="B2522" s="1">
        <f>IFERROR(__xludf.DUMMYFUNCTION("""COMPUTED_VALUE"""),37.71)</f>
        <v>37.71</v>
      </c>
      <c r="C2522" s="1">
        <f>IFERROR(__xludf.DUMMYFUNCTION("""COMPUTED_VALUE"""),37.84)</f>
        <v>37.84</v>
      </c>
      <c r="D2522" s="1">
        <f>IFERROR(__xludf.DUMMYFUNCTION("""COMPUTED_VALUE"""),37.45)</f>
        <v>37.45</v>
      </c>
      <c r="E2522" s="1">
        <f>IFERROR(__xludf.DUMMYFUNCTION("""COMPUTED_VALUE"""),37.65)</f>
        <v>37.65</v>
      </c>
      <c r="F2522" s="1">
        <f>IFERROR(__xludf.DUMMYFUNCTION("""COMPUTED_VALUE"""),176355.0)</f>
        <v>176355</v>
      </c>
    </row>
    <row r="2523">
      <c r="A2523" s="2">
        <f>IFERROR(__xludf.DUMMYFUNCTION("""COMPUTED_VALUE"""),43840.66666666667)</f>
        <v>43840.66667</v>
      </c>
      <c r="B2523" s="1">
        <f>IFERROR(__xludf.DUMMYFUNCTION("""COMPUTED_VALUE"""),37.7)</f>
        <v>37.7</v>
      </c>
      <c r="C2523" s="1">
        <f>IFERROR(__xludf.DUMMYFUNCTION("""COMPUTED_VALUE"""),37.7)</f>
        <v>37.7</v>
      </c>
      <c r="D2523" s="1">
        <f>IFERROR(__xludf.DUMMYFUNCTION("""COMPUTED_VALUE"""),37.2)</f>
        <v>37.2</v>
      </c>
      <c r="E2523" s="1">
        <f>IFERROR(__xludf.DUMMYFUNCTION("""COMPUTED_VALUE"""),37.31)</f>
        <v>37.31</v>
      </c>
      <c r="F2523" s="1">
        <f>IFERROR(__xludf.DUMMYFUNCTION("""COMPUTED_VALUE"""),179781.0)</f>
        <v>179781</v>
      </c>
    </row>
    <row r="2524">
      <c r="A2524" s="2">
        <f>IFERROR(__xludf.DUMMYFUNCTION("""COMPUTED_VALUE"""),43843.66666666667)</f>
        <v>43843.66667</v>
      </c>
      <c r="B2524" s="1">
        <f>IFERROR(__xludf.DUMMYFUNCTION("""COMPUTED_VALUE"""),37.49)</f>
        <v>37.49</v>
      </c>
      <c r="C2524" s="1">
        <f>IFERROR(__xludf.DUMMYFUNCTION("""COMPUTED_VALUE"""),37.55)</f>
        <v>37.55</v>
      </c>
      <c r="D2524" s="1">
        <f>IFERROR(__xludf.DUMMYFUNCTION("""COMPUTED_VALUE"""),37.18)</f>
        <v>37.18</v>
      </c>
      <c r="E2524" s="1">
        <f>IFERROR(__xludf.DUMMYFUNCTION("""COMPUTED_VALUE"""),37.54)</f>
        <v>37.54</v>
      </c>
      <c r="F2524" s="1">
        <f>IFERROR(__xludf.DUMMYFUNCTION("""COMPUTED_VALUE"""),169318.0)</f>
        <v>169318</v>
      </c>
    </row>
    <row r="2525">
      <c r="A2525" s="2">
        <f>IFERROR(__xludf.DUMMYFUNCTION("""COMPUTED_VALUE"""),43844.66666666667)</f>
        <v>43844.66667</v>
      </c>
      <c r="B2525" s="1">
        <f>IFERROR(__xludf.DUMMYFUNCTION("""COMPUTED_VALUE"""),37.49)</f>
        <v>37.49</v>
      </c>
      <c r="C2525" s="1">
        <f>IFERROR(__xludf.DUMMYFUNCTION("""COMPUTED_VALUE"""),37.72)</f>
        <v>37.72</v>
      </c>
      <c r="D2525" s="1">
        <f>IFERROR(__xludf.DUMMYFUNCTION("""COMPUTED_VALUE"""),37.3)</f>
        <v>37.3</v>
      </c>
      <c r="E2525" s="1">
        <f>IFERROR(__xludf.DUMMYFUNCTION("""COMPUTED_VALUE"""),37.51)</f>
        <v>37.51</v>
      </c>
      <c r="F2525" s="1">
        <f>IFERROR(__xludf.DUMMYFUNCTION("""COMPUTED_VALUE"""),168484.0)</f>
        <v>168484</v>
      </c>
    </row>
    <row r="2526">
      <c r="A2526" s="2">
        <f>IFERROR(__xludf.DUMMYFUNCTION("""COMPUTED_VALUE"""),43845.66666666667)</f>
        <v>43845.66667</v>
      </c>
      <c r="B2526" s="1">
        <f>IFERROR(__xludf.DUMMYFUNCTION("""COMPUTED_VALUE"""),37.27)</f>
        <v>37.27</v>
      </c>
      <c r="C2526" s="1">
        <f>IFERROR(__xludf.DUMMYFUNCTION("""COMPUTED_VALUE"""),37.76)</f>
        <v>37.76</v>
      </c>
      <c r="D2526" s="1">
        <f>IFERROR(__xludf.DUMMYFUNCTION("""COMPUTED_VALUE"""),37.08)</f>
        <v>37.08</v>
      </c>
      <c r="E2526" s="1">
        <f>IFERROR(__xludf.DUMMYFUNCTION("""COMPUTED_VALUE"""),37.34)</f>
        <v>37.34</v>
      </c>
      <c r="F2526" s="1">
        <f>IFERROR(__xludf.DUMMYFUNCTION("""COMPUTED_VALUE"""),271806.0)</f>
        <v>271806</v>
      </c>
    </row>
    <row r="2527">
      <c r="A2527" s="2">
        <f>IFERROR(__xludf.DUMMYFUNCTION("""COMPUTED_VALUE"""),43846.66666666667)</f>
        <v>43846.66667</v>
      </c>
      <c r="B2527" s="1">
        <f>IFERROR(__xludf.DUMMYFUNCTION("""COMPUTED_VALUE"""),37.65)</f>
        <v>37.65</v>
      </c>
      <c r="C2527" s="1">
        <f>IFERROR(__xludf.DUMMYFUNCTION("""COMPUTED_VALUE"""),38.02)</f>
        <v>38.02</v>
      </c>
      <c r="D2527" s="1">
        <f>IFERROR(__xludf.DUMMYFUNCTION("""COMPUTED_VALUE"""),37.24)</f>
        <v>37.24</v>
      </c>
      <c r="E2527" s="1">
        <f>IFERROR(__xludf.DUMMYFUNCTION("""COMPUTED_VALUE"""),37.93)</f>
        <v>37.93</v>
      </c>
      <c r="F2527" s="1">
        <f>IFERROR(__xludf.DUMMYFUNCTION("""COMPUTED_VALUE"""),235411.0)</f>
        <v>235411</v>
      </c>
    </row>
    <row r="2528">
      <c r="A2528" s="2">
        <f>IFERROR(__xludf.DUMMYFUNCTION("""COMPUTED_VALUE"""),43847.66666666667)</f>
        <v>43847.66667</v>
      </c>
      <c r="B2528" s="1">
        <f>IFERROR(__xludf.DUMMYFUNCTION("""COMPUTED_VALUE"""),38.29)</f>
        <v>38.29</v>
      </c>
      <c r="C2528" s="1">
        <f>IFERROR(__xludf.DUMMYFUNCTION("""COMPUTED_VALUE"""),38.36)</f>
        <v>38.36</v>
      </c>
      <c r="D2528" s="1">
        <f>IFERROR(__xludf.DUMMYFUNCTION("""COMPUTED_VALUE"""),37.86)</f>
        <v>37.86</v>
      </c>
      <c r="E2528" s="1">
        <f>IFERROR(__xludf.DUMMYFUNCTION("""COMPUTED_VALUE"""),37.9)</f>
        <v>37.9</v>
      </c>
      <c r="F2528" s="1">
        <f>IFERROR(__xludf.DUMMYFUNCTION("""COMPUTED_VALUE"""),281468.0)</f>
        <v>281468</v>
      </c>
    </row>
    <row r="2529">
      <c r="A2529" s="2">
        <f>IFERROR(__xludf.DUMMYFUNCTION("""COMPUTED_VALUE"""),43851.66666666667)</f>
        <v>43851.66667</v>
      </c>
      <c r="B2529" s="1">
        <f>IFERROR(__xludf.DUMMYFUNCTION("""COMPUTED_VALUE"""),37.75)</f>
        <v>37.75</v>
      </c>
      <c r="C2529" s="1">
        <f>IFERROR(__xludf.DUMMYFUNCTION("""COMPUTED_VALUE"""),37.76)</f>
        <v>37.76</v>
      </c>
      <c r="D2529" s="1">
        <f>IFERROR(__xludf.DUMMYFUNCTION("""COMPUTED_VALUE"""),36.99)</f>
        <v>36.99</v>
      </c>
      <c r="E2529" s="1">
        <f>IFERROR(__xludf.DUMMYFUNCTION("""COMPUTED_VALUE"""),37.03)</f>
        <v>37.03</v>
      </c>
      <c r="F2529" s="1">
        <f>IFERROR(__xludf.DUMMYFUNCTION("""COMPUTED_VALUE"""),242268.0)</f>
        <v>242268</v>
      </c>
    </row>
    <row r="2530">
      <c r="A2530" s="2">
        <f>IFERROR(__xludf.DUMMYFUNCTION("""COMPUTED_VALUE"""),43852.66666666667)</f>
        <v>43852.66667</v>
      </c>
      <c r="B2530" s="1">
        <f>IFERROR(__xludf.DUMMYFUNCTION("""COMPUTED_VALUE"""),37.25)</f>
        <v>37.25</v>
      </c>
      <c r="C2530" s="1">
        <f>IFERROR(__xludf.DUMMYFUNCTION("""COMPUTED_VALUE"""),37.25)</f>
        <v>37.25</v>
      </c>
      <c r="D2530" s="1">
        <f>IFERROR(__xludf.DUMMYFUNCTION("""COMPUTED_VALUE"""),36.91)</f>
        <v>36.91</v>
      </c>
      <c r="E2530" s="1">
        <f>IFERROR(__xludf.DUMMYFUNCTION("""COMPUTED_VALUE"""),37.2)</f>
        <v>37.2</v>
      </c>
      <c r="F2530" s="1">
        <f>IFERROR(__xludf.DUMMYFUNCTION("""COMPUTED_VALUE"""),481853.0)</f>
        <v>481853</v>
      </c>
    </row>
    <row r="2531">
      <c r="A2531" s="2">
        <f>IFERROR(__xludf.DUMMYFUNCTION("""COMPUTED_VALUE"""),43853.66666666667)</f>
        <v>43853.66667</v>
      </c>
      <c r="B2531" s="1">
        <f>IFERROR(__xludf.DUMMYFUNCTION("""COMPUTED_VALUE"""),36.41)</f>
        <v>36.41</v>
      </c>
      <c r="C2531" s="1">
        <f>IFERROR(__xludf.DUMMYFUNCTION("""COMPUTED_VALUE"""),37.17)</f>
        <v>37.17</v>
      </c>
      <c r="D2531" s="1">
        <f>IFERROR(__xludf.DUMMYFUNCTION("""COMPUTED_VALUE"""),35.28)</f>
        <v>35.28</v>
      </c>
      <c r="E2531" s="1">
        <f>IFERROR(__xludf.DUMMYFUNCTION("""COMPUTED_VALUE"""),36.93)</f>
        <v>36.93</v>
      </c>
      <c r="F2531" s="1">
        <f>IFERROR(__xludf.DUMMYFUNCTION("""COMPUTED_VALUE"""),565507.0)</f>
        <v>565507</v>
      </c>
    </row>
    <row r="2532">
      <c r="A2532" s="2">
        <f>IFERROR(__xludf.DUMMYFUNCTION("""COMPUTED_VALUE"""),43854.66666666667)</f>
        <v>43854.66667</v>
      </c>
      <c r="B2532" s="1">
        <f>IFERROR(__xludf.DUMMYFUNCTION("""COMPUTED_VALUE"""),36.79)</f>
        <v>36.79</v>
      </c>
      <c r="C2532" s="1">
        <f>IFERROR(__xludf.DUMMYFUNCTION("""COMPUTED_VALUE"""),36.89)</f>
        <v>36.89</v>
      </c>
      <c r="D2532" s="1">
        <f>IFERROR(__xludf.DUMMYFUNCTION("""COMPUTED_VALUE"""),36.13)</f>
        <v>36.13</v>
      </c>
      <c r="E2532" s="1">
        <f>IFERROR(__xludf.DUMMYFUNCTION("""COMPUTED_VALUE"""),36.82)</f>
        <v>36.82</v>
      </c>
      <c r="F2532" s="1">
        <f>IFERROR(__xludf.DUMMYFUNCTION("""COMPUTED_VALUE"""),507044.0)</f>
        <v>507044</v>
      </c>
    </row>
    <row r="2533">
      <c r="A2533" s="2">
        <f>IFERROR(__xludf.DUMMYFUNCTION("""COMPUTED_VALUE"""),43857.66666666667)</f>
        <v>43857.66667</v>
      </c>
      <c r="B2533" s="1">
        <f>IFERROR(__xludf.DUMMYFUNCTION("""COMPUTED_VALUE"""),36.22)</f>
        <v>36.22</v>
      </c>
      <c r="C2533" s="1">
        <f>IFERROR(__xludf.DUMMYFUNCTION("""COMPUTED_VALUE"""),36.96)</f>
        <v>36.96</v>
      </c>
      <c r="D2533" s="1">
        <f>IFERROR(__xludf.DUMMYFUNCTION("""COMPUTED_VALUE"""),36.03)</f>
        <v>36.03</v>
      </c>
      <c r="E2533" s="1">
        <f>IFERROR(__xludf.DUMMYFUNCTION("""COMPUTED_VALUE"""),36.64)</f>
        <v>36.64</v>
      </c>
      <c r="F2533" s="1">
        <f>IFERROR(__xludf.DUMMYFUNCTION("""COMPUTED_VALUE"""),463146.0)</f>
        <v>463146</v>
      </c>
    </row>
    <row r="2534">
      <c r="A2534" s="2">
        <f>IFERROR(__xludf.DUMMYFUNCTION("""COMPUTED_VALUE"""),43858.66666666667)</f>
        <v>43858.66667</v>
      </c>
      <c r="B2534" s="1">
        <f>IFERROR(__xludf.DUMMYFUNCTION("""COMPUTED_VALUE"""),36.97)</f>
        <v>36.97</v>
      </c>
      <c r="C2534" s="1">
        <f>IFERROR(__xludf.DUMMYFUNCTION("""COMPUTED_VALUE"""),37.02)</f>
        <v>37.02</v>
      </c>
      <c r="D2534" s="1">
        <f>IFERROR(__xludf.DUMMYFUNCTION("""COMPUTED_VALUE"""),36.74)</f>
        <v>36.74</v>
      </c>
      <c r="E2534" s="1">
        <f>IFERROR(__xludf.DUMMYFUNCTION("""COMPUTED_VALUE"""),36.97)</f>
        <v>36.97</v>
      </c>
      <c r="F2534" s="1">
        <f>IFERROR(__xludf.DUMMYFUNCTION("""COMPUTED_VALUE"""),344789.0)</f>
        <v>344789</v>
      </c>
    </row>
    <row r="2535">
      <c r="A2535" s="2">
        <f>IFERROR(__xludf.DUMMYFUNCTION("""COMPUTED_VALUE"""),43859.66666666667)</f>
        <v>43859.66667</v>
      </c>
      <c r="B2535" s="1">
        <f>IFERROR(__xludf.DUMMYFUNCTION("""COMPUTED_VALUE"""),36.91)</f>
        <v>36.91</v>
      </c>
      <c r="C2535" s="1">
        <f>IFERROR(__xludf.DUMMYFUNCTION("""COMPUTED_VALUE"""),37.03)</f>
        <v>37.03</v>
      </c>
      <c r="D2535" s="1">
        <f>IFERROR(__xludf.DUMMYFUNCTION("""COMPUTED_VALUE"""),36.4)</f>
        <v>36.4</v>
      </c>
      <c r="E2535" s="1">
        <f>IFERROR(__xludf.DUMMYFUNCTION("""COMPUTED_VALUE"""),36.41)</f>
        <v>36.41</v>
      </c>
      <c r="F2535" s="1">
        <f>IFERROR(__xludf.DUMMYFUNCTION("""COMPUTED_VALUE"""),401040.0)</f>
        <v>401040</v>
      </c>
    </row>
    <row r="2536">
      <c r="A2536" s="2">
        <f>IFERROR(__xludf.DUMMYFUNCTION("""COMPUTED_VALUE"""),43860.66666666667)</f>
        <v>43860.66667</v>
      </c>
      <c r="B2536" s="1">
        <f>IFERROR(__xludf.DUMMYFUNCTION("""COMPUTED_VALUE"""),36.2)</f>
        <v>36.2</v>
      </c>
      <c r="C2536" s="1">
        <f>IFERROR(__xludf.DUMMYFUNCTION("""COMPUTED_VALUE"""),36.73)</f>
        <v>36.73</v>
      </c>
      <c r="D2536" s="1">
        <f>IFERROR(__xludf.DUMMYFUNCTION("""COMPUTED_VALUE"""),35.94)</f>
        <v>35.94</v>
      </c>
      <c r="E2536" s="1">
        <f>IFERROR(__xludf.DUMMYFUNCTION("""COMPUTED_VALUE"""),36.7)</f>
        <v>36.7</v>
      </c>
      <c r="F2536" s="1">
        <f>IFERROR(__xludf.DUMMYFUNCTION("""COMPUTED_VALUE"""),209283.0)</f>
        <v>209283</v>
      </c>
    </row>
    <row r="2537">
      <c r="A2537" s="2">
        <f>IFERROR(__xludf.DUMMYFUNCTION("""COMPUTED_VALUE"""),43861.66666666667)</f>
        <v>43861.66667</v>
      </c>
      <c r="B2537" s="1">
        <f>IFERROR(__xludf.DUMMYFUNCTION("""COMPUTED_VALUE"""),36.44)</f>
        <v>36.44</v>
      </c>
      <c r="C2537" s="1">
        <f>IFERROR(__xludf.DUMMYFUNCTION("""COMPUTED_VALUE"""),36.61)</f>
        <v>36.61</v>
      </c>
      <c r="D2537" s="1">
        <f>IFERROR(__xludf.DUMMYFUNCTION("""COMPUTED_VALUE"""),35.82)</f>
        <v>35.82</v>
      </c>
      <c r="E2537" s="1">
        <f>IFERROR(__xludf.DUMMYFUNCTION("""COMPUTED_VALUE"""),36.06)</f>
        <v>36.06</v>
      </c>
      <c r="F2537" s="1">
        <f>IFERROR(__xludf.DUMMYFUNCTION("""COMPUTED_VALUE"""),368213.0)</f>
        <v>368213</v>
      </c>
    </row>
    <row r="2538">
      <c r="A2538" s="2">
        <f>IFERROR(__xludf.DUMMYFUNCTION("""COMPUTED_VALUE"""),43864.66666666667)</f>
        <v>43864.66667</v>
      </c>
      <c r="B2538" s="1">
        <f>IFERROR(__xludf.DUMMYFUNCTION("""COMPUTED_VALUE"""),36.01)</f>
        <v>36.01</v>
      </c>
      <c r="C2538" s="1">
        <f>IFERROR(__xludf.DUMMYFUNCTION("""COMPUTED_VALUE"""),36.75)</f>
        <v>36.75</v>
      </c>
      <c r="D2538" s="1">
        <f>IFERROR(__xludf.DUMMYFUNCTION("""COMPUTED_VALUE"""),36.01)</f>
        <v>36.01</v>
      </c>
      <c r="E2538" s="1">
        <f>IFERROR(__xludf.DUMMYFUNCTION("""COMPUTED_VALUE"""),36.55)</f>
        <v>36.55</v>
      </c>
      <c r="F2538" s="1">
        <f>IFERROR(__xludf.DUMMYFUNCTION("""COMPUTED_VALUE"""),323765.0)</f>
        <v>323765</v>
      </c>
    </row>
    <row r="2539">
      <c r="A2539" s="2">
        <f>IFERROR(__xludf.DUMMYFUNCTION("""COMPUTED_VALUE"""),43865.66666666667)</f>
        <v>43865.66667</v>
      </c>
      <c r="B2539" s="1">
        <f>IFERROR(__xludf.DUMMYFUNCTION("""COMPUTED_VALUE"""),37.06)</f>
        <v>37.06</v>
      </c>
      <c r="C2539" s="1">
        <f>IFERROR(__xludf.DUMMYFUNCTION("""COMPUTED_VALUE"""),37.3)</f>
        <v>37.3</v>
      </c>
      <c r="D2539" s="1">
        <f>IFERROR(__xludf.DUMMYFUNCTION("""COMPUTED_VALUE"""),36.89)</f>
        <v>36.89</v>
      </c>
      <c r="E2539" s="1">
        <f>IFERROR(__xludf.DUMMYFUNCTION("""COMPUTED_VALUE"""),36.94)</f>
        <v>36.94</v>
      </c>
      <c r="F2539" s="1">
        <f>IFERROR(__xludf.DUMMYFUNCTION("""COMPUTED_VALUE"""),198624.0)</f>
        <v>198624</v>
      </c>
    </row>
    <row r="2540">
      <c r="A2540" s="2">
        <f>IFERROR(__xludf.DUMMYFUNCTION("""COMPUTED_VALUE"""),43866.66666666667)</f>
        <v>43866.66667</v>
      </c>
      <c r="B2540" s="1">
        <f>IFERROR(__xludf.DUMMYFUNCTION("""COMPUTED_VALUE"""),37.39)</f>
        <v>37.39</v>
      </c>
      <c r="C2540" s="1">
        <f>IFERROR(__xludf.DUMMYFUNCTION("""COMPUTED_VALUE"""),37.83)</f>
        <v>37.83</v>
      </c>
      <c r="D2540" s="1">
        <f>IFERROR(__xludf.DUMMYFUNCTION("""COMPUTED_VALUE"""),37.24)</f>
        <v>37.24</v>
      </c>
      <c r="E2540" s="1">
        <f>IFERROR(__xludf.DUMMYFUNCTION("""COMPUTED_VALUE"""),37.76)</f>
        <v>37.76</v>
      </c>
      <c r="F2540" s="1">
        <f>IFERROR(__xludf.DUMMYFUNCTION("""COMPUTED_VALUE"""),203082.0)</f>
        <v>203082</v>
      </c>
    </row>
    <row r="2541">
      <c r="A2541" s="2">
        <f>IFERROR(__xludf.DUMMYFUNCTION("""COMPUTED_VALUE"""),43867.66666666667)</f>
        <v>43867.66667</v>
      </c>
      <c r="B2541" s="1">
        <f>IFERROR(__xludf.DUMMYFUNCTION("""COMPUTED_VALUE"""),37.99)</f>
        <v>37.99</v>
      </c>
      <c r="C2541" s="1">
        <f>IFERROR(__xludf.DUMMYFUNCTION("""COMPUTED_VALUE"""),38.0)</f>
        <v>38</v>
      </c>
      <c r="D2541" s="1">
        <f>IFERROR(__xludf.DUMMYFUNCTION("""COMPUTED_VALUE"""),37.39)</f>
        <v>37.39</v>
      </c>
      <c r="E2541" s="1">
        <f>IFERROR(__xludf.DUMMYFUNCTION("""COMPUTED_VALUE"""),37.47)</f>
        <v>37.47</v>
      </c>
      <c r="F2541" s="1">
        <f>IFERROR(__xludf.DUMMYFUNCTION("""COMPUTED_VALUE"""),153684.0)</f>
        <v>153684</v>
      </c>
    </row>
    <row r="2542">
      <c r="A2542" s="2">
        <f>IFERROR(__xludf.DUMMYFUNCTION("""COMPUTED_VALUE"""),43868.66666666667)</f>
        <v>43868.66667</v>
      </c>
      <c r="B2542" s="1">
        <f>IFERROR(__xludf.DUMMYFUNCTION("""COMPUTED_VALUE"""),37.27)</f>
        <v>37.27</v>
      </c>
      <c r="C2542" s="1">
        <f>IFERROR(__xludf.DUMMYFUNCTION("""COMPUTED_VALUE"""),37.28)</f>
        <v>37.28</v>
      </c>
      <c r="D2542" s="1">
        <f>IFERROR(__xludf.DUMMYFUNCTION("""COMPUTED_VALUE"""),36.75)</f>
        <v>36.75</v>
      </c>
      <c r="E2542" s="1">
        <f>IFERROR(__xludf.DUMMYFUNCTION("""COMPUTED_VALUE"""),36.83)</f>
        <v>36.83</v>
      </c>
      <c r="F2542" s="1">
        <f>IFERROR(__xludf.DUMMYFUNCTION("""COMPUTED_VALUE"""),160814.0)</f>
        <v>160814</v>
      </c>
    </row>
    <row r="2543">
      <c r="A2543" s="2">
        <f>IFERROR(__xludf.DUMMYFUNCTION("""COMPUTED_VALUE"""),43871.66666666667)</f>
        <v>43871.66667</v>
      </c>
      <c r="B2543" s="1">
        <f>IFERROR(__xludf.DUMMYFUNCTION("""COMPUTED_VALUE"""),36.67)</f>
        <v>36.67</v>
      </c>
      <c r="C2543" s="1">
        <f>IFERROR(__xludf.DUMMYFUNCTION("""COMPUTED_VALUE"""),36.7)</f>
        <v>36.7</v>
      </c>
      <c r="D2543" s="1">
        <f>IFERROR(__xludf.DUMMYFUNCTION("""COMPUTED_VALUE"""),36.39)</f>
        <v>36.39</v>
      </c>
      <c r="E2543" s="1">
        <f>IFERROR(__xludf.DUMMYFUNCTION("""COMPUTED_VALUE"""),36.56)</f>
        <v>36.56</v>
      </c>
      <c r="F2543" s="1">
        <f>IFERROR(__xludf.DUMMYFUNCTION("""COMPUTED_VALUE"""),179722.0)</f>
        <v>179722</v>
      </c>
    </row>
    <row r="2544">
      <c r="A2544" s="2">
        <f>IFERROR(__xludf.DUMMYFUNCTION("""COMPUTED_VALUE"""),43872.66666666667)</f>
        <v>43872.66667</v>
      </c>
      <c r="B2544" s="1">
        <f>IFERROR(__xludf.DUMMYFUNCTION("""COMPUTED_VALUE"""),36.66)</f>
        <v>36.66</v>
      </c>
      <c r="C2544" s="1">
        <f>IFERROR(__xludf.DUMMYFUNCTION("""COMPUTED_VALUE"""),37.01)</f>
        <v>37.01</v>
      </c>
      <c r="D2544" s="1">
        <f>IFERROR(__xludf.DUMMYFUNCTION("""COMPUTED_VALUE"""),36.38)</f>
        <v>36.38</v>
      </c>
      <c r="E2544" s="1">
        <f>IFERROR(__xludf.DUMMYFUNCTION("""COMPUTED_VALUE"""),36.61)</f>
        <v>36.61</v>
      </c>
      <c r="F2544" s="1">
        <f>IFERROR(__xludf.DUMMYFUNCTION("""COMPUTED_VALUE"""),187375.0)</f>
        <v>187375</v>
      </c>
    </row>
    <row r="2545">
      <c r="A2545" s="2">
        <f>IFERROR(__xludf.DUMMYFUNCTION("""COMPUTED_VALUE"""),43873.66666666667)</f>
        <v>43873.66667</v>
      </c>
      <c r="B2545" s="1">
        <f>IFERROR(__xludf.DUMMYFUNCTION("""COMPUTED_VALUE"""),36.94)</f>
        <v>36.94</v>
      </c>
      <c r="C2545" s="1">
        <f>IFERROR(__xludf.DUMMYFUNCTION("""COMPUTED_VALUE"""),37.0)</f>
        <v>37</v>
      </c>
      <c r="D2545" s="1">
        <f>IFERROR(__xludf.DUMMYFUNCTION("""COMPUTED_VALUE"""),36.51)</f>
        <v>36.51</v>
      </c>
      <c r="E2545" s="1">
        <f>IFERROR(__xludf.DUMMYFUNCTION("""COMPUTED_VALUE"""),36.75)</f>
        <v>36.75</v>
      </c>
      <c r="F2545" s="1">
        <f>IFERROR(__xludf.DUMMYFUNCTION("""COMPUTED_VALUE"""),214185.0)</f>
        <v>214185</v>
      </c>
    </row>
    <row r="2546">
      <c r="A2546" s="2">
        <f>IFERROR(__xludf.DUMMYFUNCTION("""COMPUTED_VALUE"""),43874.66666666667)</f>
        <v>43874.66667</v>
      </c>
      <c r="B2546" s="1">
        <f>IFERROR(__xludf.DUMMYFUNCTION("""COMPUTED_VALUE"""),36.59)</f>
        <v>36.59</v>
      </c>
      <c r="C2546" s="1">
        <f>IFERROR(__xludf.DUMMYFUNCTION("""COMPUTED_VALUE"""),36.9)</f>
        <v>36.9</v>
      </c>
      <c r="D2546" s="1">
        <f>IFERROR(__xludf.DUMMYFUNCTION("""COMPUTED_VALUE"""),36.55)</f>
        <v>36.55</v>
      </c>
      <c r="E2546" s="1">
        <f>IFERROR(__xludf.DUMMYFUNCTION("""COMPUTED_VALUE"""),36.87)</f>
        <v>36.87</v>
      </c>
      <c r="F2546" s="1">
        <f>IFERROR(__xludf.DUMMYFUNCTION("""COMPUTED_VALUE"""),155915.0)</f>
        <v>155915</v>
      </c>
    </row>
    <row r="2547">
      <c r="A2547" s="2">
        <f>IFERROR(__xludf.DUMMYFUNCTION("""COMPUTED_VALUE"""),43875.66666666667)</f>
        <v>43875.66667</v>
      </c>
      <c r="B2547" s="1">
        <f>IFERROR(__xludf.DUMMYFUNCTION("""COMPUTED_VALUE"""),36.79)</f>
        <v>36.79</v>
      </c>
      <c r="C2547" s="1">
        <f>IFERROR(__xludf.DUMMYFUNCTION("""COMPUTED_VALUE"""),36.9)</f>
        <v>36.9</v>
      </c>
      <c r="D2547" s="1">
        <f>IFERROR(__xludf.DUMMYFUNCTION("""COMPUTED_VALUE"""),36.37)</f>
        <v>36.37</v>
      </c>
      <c r="E2547" s="1">
        <f>IFERROR(__xludf.DUMMYFUNCTION("""COMPUTED_VALUE"""),36.72)</f>
        <v>36.72</v>
      </c>
      <c r="F2547" s="1">
        <f>IFERROR(__xludf.DUMMYFUNCTION("""COMPUTED_VALUE"""),233958.0)</f>
        <v>233958</v>
      </c>
    </row>
    <row r="2548">
      <c r="A2548" s="2">
        <f>IFERROR(__xludf.DUMMYFUNCTION("""COMPUTED_VALUE"""),43879.66666666667)</f>
        <v>43879.66667</v>
      </c>
      <c r="B2548" s="1">
        <f>IFERROR(__xludf.DUMMYFUNCTION("""COMPUTED_VALUE"""),36.55)</f>
        <v>36.55</v>
      </c>
      <c r="C2548" s="1">
        <f>IFERROR(__xludf.DUMMYFUNCTION("""COMPUTED_VALUE"""),36.79)</f>
        <v>36.79</v>
      </c>
      <c r="D2548" s="1">
        <f>IFERROR(__xludf.DUMMYFUNCTION("""COMPUTED_VALUE"""),36.06)</f>
        <v>36.06</v>
      </c>
      <c r="E2548" s="1">
        <f>IFERROR(__xludf.DUMMYFUNCTION("""COMPUTED_VALUE"""),36.45)</f>
        <v>36.45</v>
      </c>
      <c r="F2548" s="1">
        <f>IFERROR(__xludf.DUMMYFUNCTION("""COMPUTED_VALUE"""),162758.0)</f>
        <v>162758</v>
      </c>
    </row>
    <row r="2549">
      <c r="A2549" s="2">
        <f>IFERROR(__xludf.DUMMYFUNCTION("""COMPUTED_VALUE"""),43880.66666666667)</f>
        <v>43880.66667</v>
      </c>
      <c r="B2549" s="1">
        <f>IFERROR(__xludf.DUMMYFUNCTION("""COMPUTED_VALUE"""),36.62)</f>
        <v>36.62</v>
      </c>
      <c r="C2549" s="1">
        <f>IFERROR(__xludf.DUMMYFUNCTION("""COMPUTED_VALUE"""),36.73)</f>
        <v>36.73</v>
      </c>
      <c r="D2549" s="1">
        <f>IFERROR(__xludf.DUMMYFUNCTION("""COMPUTED_VALUE"""),36.47)</f>
        <v>36.47</v>
      </c>
      <c r="E2549" s="1">
        <f>IFERROR(__xludf.DUMMYFUNCTION("""COMPUTED_VALUE"""),36.53)</f>
        <v>36.53</v>
      </c>
      <c r="F2549" s="1">
        <f>IFERROR(__xludf.DUMMYFUNCTION("""COMPUTED_VALUE"""),157018.0)</f>
        <v>157018</v>
      </c>
    </row>
    <row r="2550">
      <c r="A2550" s="2">
        <f>IFERROR(__xludf.DUMMYFUNCTION("""COMPUTED_VALUE"""),43881.66666666667)</f>
        <v>43881.66667</v>
      </c>
      <c r="B2550" s="1">
        <f>IFERROR(__xludf.DUMMYFUNCTION("""COMPUTED_VALUE"""),36.4)</f>
        <v>36.4</v>
      </c>
      <c r="C2550" s="1">
        <f>IFERROR(__xludf.DUMMYFUNCTION("""COMPUTED_VALUE"""),36.91)</f>
        <v>36.91</v>
      </c>
      <c r="D2550" s="1">
        <f>IFERROR(__xludf.DUMMYFUNCTION("""COMPUTED_VALUE"""),36.39)</f>
        <v>36.39</v>
      </c>
      <c r="E2550" s="1">
        <f>IFERROR(__xludf.DUMMYFUNCTION("""COMPUTED_VALUE"""),36.73)</f>
        <v>36.73</v>
      </c>
      <c r="F2550" s="1">
        <f>IFERROR(__xludf.DUMMYFUNCTION("""COMPUTED_VALUE"""),174791.0)</f>
        <v>174791</v>
      </c>
    </row>
    <row r="2551">
      <c r="A2551" s="2">
        <f>IFERROR(__xludf.DUMMYFUNCTION("""COMPUTED_VALUE"""),43882.66666666667)</f>
        <v>43882.66667</v>
      </c>
      <c r="B2551" s="1">
        <f>IFERROR(__xludf.DUMMYFUNCTION("""COMPUTED_VALUE"""),36.65)</f>
        <v>36.65</v>
      </c>
      <c r="C2551" s="1">
        <f>IFERROR(__xludf.DUMMYFUNCTION("""COMPUTED_VALUE"""),36.7)</f>
        <v>36.7</v>
      </c>
      <c r="D2551" s="1">
        <f>IFERROR(__xludf.DUMMYFUNCTION("""COMPUTED_VALUE"""),36.07)</f>
        <v>36.07</v>
      </c>
      <c r="E2551" s="1">
        <f>IFERROR(__xludf.DUMMYFUNCTION("""COMPUTED_VALUE"""),36.25)</f>
        <v>36.25</v>
      </c>
      <c r="F2551" s="1">
        <f>IFERROR(__xludf.DUMMYFUNCTION("""COMPUTED_VALUE"""),178997.0)</f>
        <v>178997</v>
      </c>
    </row>
    <row r="2552">
      <c r="A2552" s="2">
        <f>IFERROR(__xludf.DUMMYFUNCTION("""COMPUTED_VALUE"""),43885.66666666667)</f>
        <v>43885.66667</v>
      </c>
      <c r="B2552" s="1">
        <f>IFERROR(__xludf.DUMMYFUNCTION("""COMPUTED_VALUE"""),35.23)</f>
        <v>35.23</v>
      </c>
      <c r="C2552" s="1">
        <f>IFERROR(__xludf.DUMMYFUNCTION("""COMPUTED_VALUE"""),35.47)</f>
        <v>35.47</v>
      </c>
      <c r="D2552" s="1">
        <f>IFERROR(__xludf.DUMMYFUNCTION("""COMPUTED_VALUE"""),35.03)</f>
        <v>35.03</v>
      </c>
      <c r="E2552" s="1">
        <f>IFERROR(__xludf.DUMMYFUNCTION("""COMPUTED_VALUE"""),35.16)</f>
        <v>35.16</v>
      </c>
      <c r="F2552" s="1">
        <f>IFERROR(__xludf.DUMMYFUNCTION("""COMPUTED_VALUE"""),208220.0)</f>
        <v>208220</v>
      </c>
    </row>
    <row r="2553">
      <c r="A2553" s="2">
        <f>IFERROR(__xludf.DUMMYFUNCTION("""COMPUTED_VALUE"""),43886.66666666667)</f>
        <v>43886.66667</v>
      </c>
      <c r="B2553" s="1">
        <f>IFERROR(__xludf.DUMMYFUNCTION("""COMPUTED_VALUE"""),35.16)</f>
        <v>35.16</v>
      </c>
      <c r="C2553" s="1">
        <f>IFERROR(__xludf.DUMMYFUNCTION("""COMPUTED_VALUE"""),35.16)</f>
        <v>35.16</v>
      </c>
      <c r="D2553" s="1">
        <f>IFERROR(__xludf.DUMMYFUNCTION("""COMPUTED_VALUE"""),33.78)</f>
        <v>33.78</v>
      </c>
      <c r="E2553" s="1">
        <f>IFERROR(__xludf.DUMMYFUNCTION("""COMPUTED_VALUE"""),33.83)</f>
        <v>33.83</v>
      </c>
      <c r="F2553" s="1">
        <f>IFERROR(__xludf.DUMMYFUNCTION("""COMPUTED_VALUE"""),371362.0)</f>
        <v>371362</v>
      </c>
    </row>
    <row r="2554">
      <c r="A2554" s="2">
        <f>IFERROR(__xludf.DUMMYFUNCTION("""COMPUTED_VALUE"""),43887.66666666667)</f>
        <v>43887.66667</v>
      </c>
      <c r="B2554" s="1">
        <f>IFERROR(__xludf.DUMMYFUNCTION("""COMPUTED_VALUE"""),34.0)</f>
        <v>34</v>
      </c>
      <c r="C2554" s="1">
        <f>IFERROR(__xludf.DUMMYFUNCTION("""COMPUTED_VALUE"""),34.21)</f>
        <v>34.21</v>
      </c>
      <c r="D2554" s="1">
        <f>IFERROR(__xludf.DUMMYFUNCTION("""COMPUTED_VALUE"""),33.29)</f>
        <v>33.29</v>
      </c>
      <c r="E2554" s="1">
        <f>IFERROR(__xludf.DUMMYFUNCTION("""COMPUTED_VALUE"""),33.44)</f>
        <v>33.44</v>
      </c>
      <c r="F2554" s="1">
        <f>IFERROR(__xludf.DUMMYFUNCTION("""COMPUTED_VALUE"""),297233.0)</f>
        <v>297233</v>
      </c>
    </row>
    <row r="2555">
      <c r="A2555" s="2">
        <f>IFERROR(__xludf.DUMMYFUNCTION("""COMPUTED_VALUE"""),43888.66666666667)</f>
        <v>43888.66667</v>
      </c>
      <c r="B2555" s="1">
        <f>IFERROR(__xludf.DUMMYFUNCTION("""COMPUTED_VALUE"""),32.8)</f>
        <v>32.8</v>
      </c>
      <c r="C2555" s="1">
        <f>IFERROR(__xludf.DUMMYFUNCTION("""COMPUTED_VALUE"""),34.08)</f>
        <v>34.08</v>
      </c>
      <c r="D2555" s="1">
        <f>IFERROR(__xludf.DUMMYFUNCTION("""COMPUTED_VALUE"""),32.46)</f>
        <v>32.46</v>
      </c>
      <c r="E2555" s="1">
        <f>IFERROR(__xludf.DUMMYFUNCTION("""COMPUTED_VALUE"""),32.47)</f>
        <v>32.47</v>
      </c>
      <c r="F2555" s="1">
        <f>IFERROR(__xludf.DUMMYFUNCTION("""COMPUTED_VALUE"""),475008.0)</f>
        <v>475008</v>
      </c>
    </row>
    <row r="2556">
      <c r="A2556" s="2">
        <f>IFERROR(__xludf.DUMMYFUNCTION("""COMPUTED_VALUE"""),43889.66666666667)</f>
        <v>43889.66667</v>
      </c>
      <c r="B2556" s="1">
        <f>IFERROR(__xludf.DUMMYFUNCTION("""COMPUTED_VALUE"""),31.19)</f>
        <v>31.19</v>
      </c>
      <c r="C2556" s="1">
        <f>IFERROR(__xludf.DUMMYFUNCTION("""COMPUTED_VALUE"""),31.83)</f>
        <v>31.83</v>
      </c>
      <c r="D2556" s="1">
        <f>IFERROR(__xludf.DUMMYFUNCTION("""COMPUTED_VALUE"""),30.17)</f>
        <v>30.17</v>
      </c>
      <c r="E2556" s="1">
        <f>IFERROR(__xludf.DUMMYFUNCTION("""COMPUTED_VALUE"""),30.78)</f>
        <v>30.78</v>
      </c>
      <c r="F2556" s="1">
        <f>IFERROR(__xludf.DUMMYFUNCTION("""COMPUTED_VALUE"""),539441.0)</f>
        <v>539441</v>
      </c>
    </row>
    <row r="2557">
      <c r="A2557" s="2">
        <f>IFERROR(__xludf.DUMMYFUNCTION("""COMPUTED_VALUE"""),43892.66666666667)</f>
        <v>43892.66667</v>
      </c>
      <c r="B2557" s="1">
        <f>IFERROR(__xludf.DUMMYFUNCTION("""COMPUTED_VALUE"""),30.93)</f>
        <v>30.93</v>
      </c>
      <c r="C2557" s="1">
        <f>IFERROR(__xludf.DUMMYFUNCTION("""COMPUTED_VALUE"""),32.18)</f>
        <v>32.18</v>
      </c>
      <c r="D2557" s="1">
        <f>IFERROR(__xludf.DUMMYFUNCTION("""COMPUTED_VALUE"""),30.76)</f>
        <v>30.76</v>
      </c>
      <c r="E2557" s="1">
        <f>IFERROR(__xludf.DUMMYFUNCTION("""COMPUTED_VALUE"""),32.13)</f>
        <v>32.13</v>
      </c>
      <c r="F2557" s="1">
        <f>IFERROR(__xludf.DUMMYFUNCTION("""COMPUTED_VALUE"""),401672.0)</f>
        <v>401672</v>
      </c>
    </row>
    <row r="2558">
      <c r="A2558" s="2">
        <f>IFERROR(__xludf.DUMMYFUNCTION("""COMPUTED_VALUE"""),43893.66666666667)</f>
        <v>43893.66667</v>
      </c>
      <c r="B2558" s="1">
        <f>IFERROR(__xludf.DUMMYFUNCTION("""COMPUTED_VALUE"""),31.92)</f>
        <v>31.92</v>
      </c>
      <c r="C2558" s="1">
        <f>IFERROR(__xludf.DUMMYFUNCTION("""COMPUTED_VALUE"""),32.22)</f>
        <v>32.22</v>
      </c>
      <c r="D2558" s="1">
        <f>IFERROR(__xludf.DUMMYFUNCTION("""COMPUTED_VALUE"""),30.41)</f>
        <v>30.41</v>
      </c>
      <c r="E2558" s="1">
        <f>IFERROR(__xludf.DUMMYFUNCTION("""COMPUTED_VALUE"""),30.53)</f>
        <v>30.53</v>
      </c>
      <c r="F2558" s="1">
        <f>IFERROR(__xludf.DUMMYFUNCTION("""COMPUTED_VALUE"""),409207.0)</f>
        <v>409207</v>
      </c>
    </row>
    <row r="2559">
      <c r="A2559" s="2">
        <f>IFERROR(__xludf.DUMMYFUNCTION("""COMPUTED_VALUE"""),43894.66666666667)</f>
        <v>43894.66667</v>
      </c>
      <c r="B2559" s="1">
        <f>IFERROR(__xludf.DUMMYFUNCTION("""COMPUTED_VALUE"""),30.87)</f>
        <v>30.87</v>
      </c>
      <c r="C2559" s="1">
        <f>IFERROR(__xludf.DUMMYFUNCTION("""COMPUTED_VALUE"""),31.44)</f>
        <v>31.44</v>
      </c>
      <c r="D2559" s="1">
        <f>IFERROR(__xludf.DUMMYFUNCTION("""COMPUTED_VALUE"""),30.13)</f>
        <v>30.13</v>
      </c>
      <c r="E2559" s="1">
        <f>IFERROR(__xludf.DUMMYFUNCTION("""COMPUTED_VALUE"""),31.25)</f>
        <v>31.25</v>
      </c>
      <c r="F2559" s="1">
        <f>IFERROR(__xludf.DUMMYFUNCTION("""COMPUTED_VALUE"""),370031.0)</f>
        <v>370031</v>
      </c>
    </row>
    <row r="2560">
      <c r="A2560" s="2">
        <f>IFERROR(__xludf.DUMMYFUNCTION("""COMPUTED_VALUE"""),43895.66666666667)</f>
        <v>43895.66667</v>
      </c>
      <c r="B2560" s="1">
        <f>IFERROR(__xludf.DUMMYFUNCTION("""COMPUTED_VALUE"""),30.27)</f>
        <v>30.27</v>
      </c>
      <c r="C2560" s="1">
        <f>IFERROR(__xludf.DUMMYFUNCTION("""COMPUTED_VALUE"""),30.54)</f>
        <v>30.54</v>
      </c>
      <c r="D2560" s="1">
        <f>IFERROR(__xludf.DUMMYFUNCTION("""COMPUTED_VALUE"""),29.2)</f>
        <v>29.2</v>
      </c>
      <c r="E2560" s="1">
        <f>IFERROR(__xludf.DUMMYFUNCTION("""COMPUTED_VALUE"""),29.62)</f>
        <v>29.62</v>
      </c>
      <c r="F2560" s="1">
        <f>IFERROR(__xludf.DUMMYFUNCTION("""COMPUTED_VALUE"""),401478.0)</f>
        <v>401478</v>
      </c>
    </row>
    <row r="2561">
      <c r="A2561" s="2">
        <f>IFERROR(__xludf.DUMMYFUNCTION("""COMPUTED_VALUE"""),43896.66666666667)</f>
        <v>43896.66667</v>
      </c>
      <c r="B2561" s="1">
        <f>IFERROR(__xludf.DUMMYFUNCTION("""COMPUTED_VALUE"""),28.5)</f>
        <v>28.5</v>
      </c>
      <c r="C2561" s="1">
        <f>IFERROR(__xludf.DUMMYFUNCTION("""COMPUTED_VALUE"""),29.67)</f>
        <v>29.67</v>
      </c>
      <c r="D2561" s="1">
        <f>IFERROR(__xludf.DUMMYFUNCTION("""COMPUTED_VALUE"""),28.5)</f>
        <v>28.5</v>
      </c>
      <c r="E2561" s="1">
        <f>IFERROR(__xludf.DUMMYFUNCTION("""COMPUTED_VALUE"""),29.17)</f>
        <v>29.17</v>
      </c>
      <c r="F2561" s="1">
        <f>IFERROR(__xludf.DUMMYFUNCTION("""COMPUTED_VALUE"""),442518.0)</f>
        <v>442518</v>
      </c>
    </row>
    <row r="2562">
      <c r="A2562" s="2">
        <f>IFERROR(__xludf.DUMMYFUNCTION("""COMPUTED_VALUE"""),43899.66666666667)</f>
        <v>43899.66667</v>
      </c>
      <c r="B2562" s="1">
        <f>IFERROR(__xludf.DUMMYFUNCTION("""COMPUTED_VALUE"""),26.75)</f>
        <v>26.75</v>
      </c>
      <c r="C2562" s="1">
        <f>IFERROR(__xludf.DUMMYFUNCTION("""COMPUTED_VALUE"""),27.32)</f>
        <v>27.32</v>
      </c>
      <c r="D2562" s="1">
        <f>IFERROR(__xludf.DUMMYFUNCTION("""COMPUTED_VALUE"""),24.6)</f>
        <v>24.6</v>
      </c>
      <c r="E2562" s="1">
        <f>IFERROR(__xludf.DUMMYFUNCTION("""COMPUTED_VALUE"""),24.66)</f>
        <v>24.66</v>
      </c>
      <c r="F2562" s="1">
        <f>IFERROR(__xludf.DUMMYFUNCTION("""COMPUTED_VALUE"""),706208.0)</f>
        <v>706208</v>
      </c>
    </row>
    <row r="2563">
      <c r="A2563" s="2">
        <f>IFERROR(__xludf.DUMMYFUNCTION("""COMPUTED_VALUE"""),43900.66666666667)</f>
        <v>43900.66667</v>
      </c>
      <c r="B2563" s="1">
        <f>IFERROR(__xludf.DUMMYFUNCTION("""COMPUTED_VALUE"""),25.69)</f>
        <v>25.69</v>
      </c>
      <c r="C2563" s="1">
        <f>IFERROR(__xludf.DUMMYFUNCTION("""COMPUTED_VALUE"""),26.08)</f>
        <v>26.08</v>
      </c>
      <c r="D2563" s="1">
        <f>IFERROR(__xludf.DUMMYFUNCTION("""COMPUTED_VALUE"""),24.05)</f>
        <v>24.05</v>
      </c>
      <c r="E2563" s="1">
        <f>IFERROR(__xludf.DUMMYFUNCTION("""COMPUTED_VALUE"""),25.59)</f>
        <v>25.59</v>
      </c>
      <c r="F2563" s="1">
        <f>IFERROR(__xludf.DUMMYFUNCTION("""COMPUTED_VALUE"""),690435.0)</f>
        <v>690435</v>
      </c>
    </row>
    <row r="2564">
      <c r="A2564" s="2">
        <f>IFERROR(__xludf.DUMMYFUNCTION("""COMPUTED_VALUE"""),43901.66666666667)</f>
        <v>43901.66667</v>
      </c>
      <c r="B2564" s="1">
        <f>IFERROR(__xludf.DUMMYFUNCTION("""COMPUTED_VALUE"""),24.7)</f>
        <v>24.7</v>
      </c>
      <c r="C2564" s="1">
        <f>IFERROR(__xludf.DUMMYFUNCTION("""COMPUTED_VALUE"""),25.06)</f>
        <v>25.06</v>
      </c>
      <c r="D2564" s="1">
        <f>IFERROR(__xludf.DUMMYFUNCTION("""COMPUTED_VALUE"""),22.99)</f>
        <v>22.99</v>
      </c>
      <c r="E2564" s="1">
        <f>IFERROR(__xludf.DUMMYFUNCTION("""COMPUTED_VALUE"""),23.34)</f>
        <v>23.34</v>
      </c>
      <c r="F2564" s="1">
        <f>IFERROR(__xludf.DUMMYFUNCTION("""COMPUTED_VALUE"""),675459.0)</f>
        <v>675459</v>
      </c>
    </row>
    <row r="2565">
      <c r="A2565" s="2">
        <f>IFERROR(__xludf.DUMMYFUNCTION("""COMPUTED_VALUE"""),43902.66666666667)</f>
        <v>43902.66667</v>
      </c>
      <c r="B2565" s="1">
        <f>IFERROR(__xludf.DUMMYFUNCTION("""COMPUTED_VALUE"""),21.67)</f>
        <v>21.67</v>
      </c>
      <c r="C2565" s="1">
        <f>IFERROR(__xludf.DUMMYFUNCTION("""COMPUTED_VALUE"""),22.63)</f>
        <v>22.63</v>
      </c>
      <c r="D2565" s="1">
        <f>IFERROR(__xludf.DUMMYFUNCTION("""COMPUTED_VALUE"""),19.97)</f>
        <v>19.97</v>
      </c>
      <c r="E2565" s="1">
        <f>IFERROR(__xludf.DUMMYFUNCTION("""COMPUTED_VALUE"""),20.02)</f>
        <v>20.02</v>
      </c>
      <c r="F2565" s="1">
        <f>IFERROR(__xludf.DUMMYFUNCTION("""COMPUTED_VALUE"""),1239925.0)</f>
        <v>1239925</v>
      </c>
    </row>
    <row r="2566">
      <c r="A2566" s="2">
        <f>IFERROR(__xludf.DUMMYFUNCTION("""COMPUTED_VALUE"""),43903.66666666667)</f>
        <v>43903.66667</v>
      </c>
      <c r="B2566" s="1">
        <f>IFERROR(__xludf.DUMMYFUNCTION("""COMPUTED_VALUE"""),21.0)</f>
        <v>21</v>
      </c>
      <c r="C2566" s="1">
        <f>IFERROR(__xludf.DUMMYFUNCTION("""COMPUTED_VALUE"""),23.15)</f>
        <v>23.15</v>
      </c>
      <c r="D2566" s="1">
        <f>IFERROR(__xludf.DUMMYFUNCTION("""COMPUTED_VALUE"""),19.81)</f>
        <v>19.81</v>
      </c>
      <c r="E2566" s="1">
        <f>IFERROR(__xludf.DUMMYFUNCTION("""COMPUTED_VALUE"""),23.06)</f>
        <v>23.06</v>
      </c>
      <c r="F2566" s="1">
        <f>IFERROR(__xludf.DUMMYFUNCTION("""COMPUTED_VALUE"""),994105.0)</f>
        <v>994105</v>
      </c>
    </row>
    <row r="2567">
      <c r="A2567" s="2">
        <f>IFERROR(__xludf.DUMMYFUNCTION("""COMPUTED_VALUE"""),43906.66666666667)</f>
        <v>43906.66667</v>
      </c>
      <c r="B2567" s="1">
        <f>IFERROR(__xludf.DUMMYFUNCTION("""COMPUTED_VALUE"""),20.24)</f>
        <v>20.24</v>
      </c>
      <c r="C2567" s="1">
        <f>IFERROR(__xludf.DUMMYFUNCTION("""COMPUTED_VALUE"""),21.45)</f>
        <v>21.45</v>
      </c>
      <c r="D2567" s="1">
        <f>IFERROR(__xludf.DUMMYFUNCTION("""COMPUTED_VALUE"""),19.88)</f>
        <v>19.88</v>
      </c>
      <c r="E2567" s="1">
        <f>IFERROR(__xludf.DUMMYFUNCTION("""COMPUTED_VALUE"""),19.9)</f>
        <v>19.9</v>
      </c>
      <c r="F2567" s="1">
        <f>IFERROR(__xludf.DUMMYFUNCTION("""COMPUTED_VALUE"""),719349.0)</f>
        <v>719349</v>
      </c>
    </row>
    <row r="2568">
      <c r="A2568" s="2">
        <f>IFERROR(__xludf.DUMMYFUNCTION("""COMPUTED_VALUE"""),43907.66666666667)</f>
        <v>43907.66667</v>
      </c>
      <c r="B2568" s="1">
        <f>IFERROR(__xludf.DUMMYFUNCTION("""COMPUTED_VALUE"""),20.13)</f>
        <v>20.13</v>
      </c>
      <c r="C2568" s="1">
        <f>IFERROR(__xludf.DUMMYFUNCTION("""COMPUTED_VALUE"""),21.4)</f>
        <v>21.4</v>
      </c>
      <c r="D2568" s="1">
        <f>IFERROR(__xludf.DUMMYFUNCTION("""COMPUTED_VALUE"""),18.93)</f>
        <v>18.93</v>
      </c>
      <c r="E2568" s="1">
        <f>IFERROR(__xludf.DUMMYFUNCTION("""COMPUTED_VALUE"""),21.21)</f>
        <v>21.21</v>
      </c>
      <c r="F2568" s="1">
        <f>IFERROR(__xludf.DUMMYFUNCTION("""COMPUTED_VALUE"""),1051453.0)</f>
        <v>1051453</v>
      </c>
    </row>
    <row r="2569">
      <c r="A2569" s="2">
        <f>IFERROR(__xludf.DUMMYFUNCTION("""COMPUTED_VALUE"""),43908.66666666667)</f>
        <v>43908.66667</v>
      </c>
      <c r="B2569" s="1">
        <f>IFERROR(__xludf.DUMMYFUNCTION("""COMPUTED_VALUE"""),19.66)</f>
        <v>19.66</v>
      </c>
      <c r="C2569" s="1">
        <f>IFERROR(__xludf.DUMMYFUNCTION("""COMPUTED_VALUE"""),20.2)</f>
        <v>20.2</v>
      </c>
      <c r="D2569" s="1">
        <f>IFERROR(__xludf.DUMMYFUNCTION("""COMPUTED_VALUE"""),18.56)</f>
        <v>18.56</v>
      </c>
      <c r="E2569" s="1">
        <f>IFERROR(__xludf.DUMMYFUNCTION("""COMPUTED_VALUE"""),19.66)</f>
        <v>19.66</v>
      </c>
      <c r="F2569" s="1">
        <f>IFERROR(__xludf.DUMMYFUNCTION("""COMPUTED_VALUE"""),905906.0)</f>
        <v>905906</v>
      </c>
    </row>
    <row r="2570">
      <c r="A2570" s="2">
        <f>IFERROR(__xludf.DUMMYFUNCTION("""COMPUTED_VALUE"""),43909.66666666667)</f>
        <v>43909.66667</v>
      </c>
      <c r="B2570" s="1">
        <f>IFERROR(__xludf.DUMMYFUNCTION("""COMPUTED_VALUE"""),19.22)</f>
        <v>19.22</v>
      </c>
      <c r="C2570" s="1">
        <f>IFERROR(__xludf.DUMMYFUNCTION("""COMPUTED_VALUE"""),21.26)</f>
        <v>21.26</v>
      </c>
      <c r="D2570" s="1">
        <f>IFERROR(__xludf.DUMMYFUNCTION("""COMPUTED_VALUE"""),18.5)</f>
        <v>18.5</v>
      </c>
      <c r="E2570" s="1">
        <f>IFERROR(__xludf.DUMMYFUNCTION("""COMPUTED_VALUE"""),20.88)</f>
        <v>20.88</v>
      </c>
      <c r="F2570" s="1">
        <f>IFERROR(__xludf.DUMMYFUNCTION("""COMPUTED_VALUE"""),589204.0)</f>
        <v>589204</v>
      </c>
    </row>
    <row r="2571">
      <c r="A2571" s="2">
        <f>IFERROR(__xludf.DUMMYFUNCTION("""COMPUTED_VALUE"""),43910.66666666667)</f>
        <v>43910.66667</v>
      </c>
      <c r="B2571" s="1">
        <f>IFERROR(__xludf.DUMMYFUNCTION("""COMPUTED_VALUE"""),20.79)</f>
        <v>20.79</v>
      </c>
      <c r="C2571" s="1">
        <f>IFERROR(__xludf.DUMMYFUNCTION("""COMPUTED_VALUE"""),21.36)</f>
        <v>21.36</v>
      </c>
      <c r="D2571" s="1">
        <f>IFERROR(__xludf.DUMMYFUNCTION("""COMPUTED_VALUE"""),18.74)</f>
        <v>18.74</v>
      </c>
      <c r="E2571" s="1">
        <f>IFERROR(__xludf.DUMMYFUNCTION("""COMPUTED_VALUE"""),19.19)</f>
        <v>19.19</v>
      </c>
      <c r="F2571" s="1">
        <f>IFERROR(__xludf.DUMMYFUNCTION("""COMPUTED_VALUE"""),910858.0)</f>
        <v>910858</v>
      </c>
    </row>
    <row r="2572">
      <c r="A2572" s="2">
        <f>IFERROR(__xludf.DUMMYFUNCTION("""COMPUTED_VALUE"""),43913.66666666667)</f>
        <v>43913.66667</v>
      </c>
      <c r="B2572" s="1">
        <f>IFERROR(__xludf.DUMMYFUNCTION("""COMPUTED_VALUE"""),19.38)</f>
        <v>19.38</v>
      </c>
      <c r="C2572" s="1">
        <f>IFERROR(__xludf.DUMMYFUNCTION("""COMPUTED_VALUE"""),19.52)</f>
        <v>19.52</v>
      </c>
      <c r="D2572" s="1">
        <f>IFERROR(__xludf.DUMMYFUNCTION("""COMPUTED_VALUE"""),17.58)</f>
        <v>17.58</v>
      </c>
      <c r="E2572" s="1">
        <f>IFERROR(__xludf.DUMMYFUNCTION("""COMPUTED_VALUE"""),18.68)</f>
        <v>18.68</v>
      </c>
      <c r="F2572" s="1">
        <f>IFERROR(__xludf.DUMMYFUNCTION("""COMPUTED_VALUE"""),550956.0)</f>
        <v>550956</v>
      </c>
    </row>
    <row r="2573">
      <c r="A2573" s="2">
        <f>IFERROR(__xludf.DUMMYFUNCTION("""COMPUTED_VALUE"""),43914.66666666667)</f>
        <v>43914.66667</v>
      </c>
      <c r="B2573" s="1">
        <f>IFERROR(__xludf.DUMMYFUNCTION("""COMPUTED_VALUE"""),19.87)</f>
        <v>19.87</v>
      </c>
      <c r="C2573" s="1">
        <f>IFERROR(__xludf.DUMMYFUNCTION("""COMPUTED_VALUE"""),21.13)</f>
        <v>21.13</v>
      </c>
      <c r="D2573" s="1">
        <f>IFERROR(__xludf.DUMMYFUNCTION("""COMPUTED_VALUE"""),18.61)</f>
        <v>18.61</v>
      </c>
      <c r="E2573" s="1">
        <f>IFERROR(__xludf.DUMMYFUNCTION("""COMPUTED_VALUE"""),20.97)</f>
        <v>20.97</v>
      </c>
      <c r="F2573" s="1">
        <f>IFERROR(__xludf.DUMMYFUNCTION("""COMPUTED_VALUE"""),451803.0)</f>
        <v>451803</v>
      </c>
    </row>
    <row r="2574">
      <c r="A2574" s="2">
        <f>IFERROR(__xludf.DUMMYFUNCTION("""COMPUTED_VALUE"""),43915.66666666667)</f>
        <v>43915.66667</v>
      </c>
      <c r="B2574" s="1">
        <f>IFERROR(__xludf.DUMMYFUNCTION("""COMPUTED_VALUE"""),21.28)</f>
        <v>21.28</v>
      </c>
      <c r="C2574" s="1">
        <f>IFERROR(__xludf.DUMMYFUNCTION("""COMPUTED_VALUE"""),21.59)</f>
        <v>21.59</v>
      </c>
      <c r="D2574" s="1">
        <f>IFERROR(__xludf.DUMMYFUNCTION("""COMPUTED_VALUE"""),20.12)</f>
        <v>20.12</v>
      </c>
      <c r="E2574" s="1">
        <f>IFERROR(__xludf.DUMMYFUNCTION("""COMPUTED_VALUE"""),20.61)</f>
        <v>20.61</v>
      </c>
      <c r="F2574" s="1">
        <f>IFERROR(__xludf.DUMMYFUNCTION("""COMPUTED_VALUE"""),476744.0)</f>
        <v>476744</v>
      </c>
    </row>
    <row r="2575">
      <c r="A2575" s="2">
        <f>IFERROR(__xludf.DUMMYFUNCTION("""COMPUTED_VALUE"""),43916.66666666667)</f>
        <v>43916.66667</v>
      </c>
      <c r="B2575" s="1">
        <f>IFERROR(__xludf.DUMMYFUNCTION("""COMPUTED_VALUE"""),20.82)</f>
        <v>20.82</v>
      </c>
      <c r="C2575" s="1">
        <f>IFERROR(__xludf.DUMMYFUNCTION("""COMPUTED_VALUE"""),22.99)</f>
        <v>22.99</v>
      </c>
      <c r="D2575" s="1">
        <f>IFERROR(__xludf.DUMMYFUNCTION("""COMPUTED_VALUE"""),20.15)</f>
        <v>20.15</v>
      </c>
      <c r="E2575" s="1">
        <f>IFERROR(__xludf.DUMMYFUNCTION("""COMPUTED_VALUE"""),22.82)</f>
        <v>22.82</v>
      </c>
      <c r="F2575" s="1">
        <f>IFERROR(__xludf.DUMMYFUNCTION("""COMPUTED_VALUE"""),590794.0)</f>
        <v>590794</v>
      </c>
    </row>
    <row r="2576">
      <c r="A2576" s="2">
        <f>IFERROR(__xludf.DUMMYFUNCTION("""COMPUTED_VALUE"""),43917.66666666667)</f>
        <v>43917.66667</v>
      </c>
      <c r="B2576" s="1">
        <f>IFERROR(__xludf.DUMMYFUNCTION("""COMPUTED_VALUE"""),21.73)</f>
        <v>21.73</v>
      </c>
      <c r="C2576" s="1">
        <f>IFERROR(__xludf.DUMMYFUNCTION("""COMPUTED_VALUE"""),23.33)</f>
        <v>23.33</v>
      </c>
      <c r="D2576" s="1">
        <f>IFERROR(__xludf.DUMMYFUNCTION("""COMPUTED_VALUE"""),20.97)</f>
        <v>20.97</v>
      </c>
      <c r="E2576" s="1">
        <f>IFERROR(__xludf.DUMMYFUNCTION("""COMPUTED_VALUE"""),22.55)</f>
        <v>22.55</v>
      </c>
      <c r="F2576" s="1">
        <f>IFERROR(__xludf.DUMMYFUNCTION("""COMPUTED_VALUE"""),540345.0)</f>
        <v>540345</v>
      </c>
    </row>
    <row r="2577">
      <c r="A2577" s="2">
        <f>IFERROR(__xludf.DUMMYFUNCTION("""COMPUTED_VALUE"""),43920.66666666667)</f>
        <v>43920.66667</v>
      </c>
      <c r="B2577" s="1">
        <f>IFERROR(__xludf.DUMMYFUNCTION("""COMPUTED_VALUE"""),22.73)</f>
        <v>22.73</v>
      </c>
      <c r="C2577" s="1">
        <f>IFERROR(__xludf.DUMMYFUNCTION("""COMPUTED_VALUE"""),22.9)</f>
        <v>22.9</v>
      </c>
      <c r="D2577" s="1">
        <f>IFERROR(__xludf.DUMMYFUNCTION("""COMPUTED_VALUE"""),21.67)</f>
        <v>21.67</v>
      </c>
      <c r="E2577" s="1">
        <f>IFERROR(__xludf.DUMMYFUNCTION("""COMPUTED_VALUE"""),22.71)</f>
        <v>22.71</v>
      </c>
      <c r="F2577" s="1">
        <f>IFERROR(__xludf.DUMMYFUNCTION("""COMPUTED_VALUE"""),523228.0)</f>
        <v>523228</v>
      </c>
    </row>
    <row r="2578">
      <c r="A2578" s="2">
        <f>IFERROR(__xludf.DUMMYFUNCTION("""COMPUTED_VALUE"""),43921.66666666667)</f>
        <v>43921.66667</v>
      </c>
      <c r="B2578" s="1">
        <f>IFERROR(__xludf.DUMMYFUNCTION("""COMPUTED_VALUE"""),22.41)</f>
        <v>22.41</v>
      </c>
      <c r="C2578" s="1">
        <f>IFERROR(__xludf.DUMMYFUNCTION("""COMPUTED_VALUE"""),23.31)</f>
        <v>23.31</v>
      </c>
      <c r="D2578" s="1">
        <f>IFERROR(__xludf.DUMMYFUNCTION("""COMPUTED_VALUE"""),22.23)</f>
        <v>22.23</v>
      </c>
      <c r="E2578" s="1">
        <f>IFERROR(__xludf.DUMMYFUNCTION("""COMPUTED_VALUE"""),22.95)</f>
        <v>22.95</v>
      </c>
      <c r="F2578" s="1">
        <f>IFERROR(__xludf.DUMMYFUNCTION("""COMPUTED_VALUE"""),555268.0)</f>
        <v>555268</v>
      </c>
    </row>
    <row r="2579">
      <c r="A2579" s="2">
        <f>IFERROR(__xludf.DUMMYFUNCTION("""COMPUTED_VALUE"""),43922.66666666667)</f>
        <v>43922.66667</v>
      </c>
      <c r="B2579" s="1">
        <f>IFERROR(__xludf.DUMMYFUNCTION("""COMPUTED_VALUE"""),21.76)</f>
        <v>21.76</v>
      </c>
      <c r="C2579" s="1">
        <f>IFERROR(__xludf.DUMMYFUNCTION("""COMPUTED_VALUE"""),22.25)</f>
        <v>22.25</v>
      </c>
      <c r="D2579" s="1">
        <f>IFERROR(__xludf.DUMMYFUNCTION("""COMPUTED_VALUE"""),21.16)</f>
        <v>21.16</v>
      </c>
      <c r="E2579" s="1">
        <f>IFERROR(__xludf.DUMMYFUNCTION("""COMPUTED_VALUE"""),21.68)</f>
        <v>21.68</v>
      </c>
      <c r="F2579" s="1">
        <f>IFERROR(__xludf.DUMMYFUNCTION("""COMPUTED_VALUE"""),602195.0)</f>
        <v>602195</v>
      </c>
    </row>
    <row r="2580">
      <c r="A2580" s="2">
        <f>IFERROR(__xludf.DUMMYFUNCTION("""COMPUTED_VALUE"""),43923.66666666667)</f>
        <v>43923.66667</v>
      </c>
      <c r="B2580" s="1">
        <f>IFERROR(__xludf.DUMMYFUNCTION("""COMPUTED_VALUE"""),21.53)</f>
        <v>21.53</v>
      </c>
      <c r="C2580" s="1">
        <f>IFERROR(__xludf.DUMMYFUNCTION("""COMPUTED_VALUE"""),22.96)</f>
        <v>22.96</v>
      </c>
      <c r="D2580" s="1">
        <f>IFERROR(__xludf.DUMMYFUNCTION("""COMPUTED_VALUE"""),21.49)</f>
        <v>21.49</v>
      </c>
      <c r="E2580" s="1">
        <f>IFERROR(__xludf.DUMMYFUNCTION("""COMPUTED_VALUE"""),22.55)</f>
        <v>22.55</v>
      </c>
      <c r="F2580" s="1">
        <f>IFERROR(__xludf.DUMMYFUNCTION("""COMPUTED_VALUE"""),523196.0)</f>
        <v>523196</v>
      </c>
    </row>
    <row r="2581">
      <c r="A2581" s="2">
        <f>IFERROR(__xludf.DUMMYFUNCTION("""COMPUTED_VALUE"""),43924.66666666667)</f>
        <v>43924.66667</v>
      </c>
      <c r="B2581" s="1">
        <f>IFERROR(__xludf.DUMMYFUNCTION("""COMPUTED_VALUE"""),22.27)</f>
        <v>22.27</v>
      </c>
      <c r="C2581" s="1">
        <f>IFERROR(__xludf.DUMMYFUNCTION("""COMPUTED_VALUE"""),22.69)</f>
        <v>22.69</v>
      </c>
      <c r="D2581" s="1">
        <f>IFERROR(__xludf.DUMMYFUNCTION("""COMPUTED_VALUE"""),20.82)</f>
        <v>20.82</v>
      </c>
      <c r="E2581" s="1">
        <f>IFERROR(__xludf.DUMMYFUNCTION("""COMPUTED_VALUE"""),21.31)</f>
        <v>21.31</v>
      </c>
      <c r="F2581" s="1">
        <f>IFERROR(__xludf.DUMMYFUNCTION("""COMPUTED_VALUE"""),381804.0)</f>
        <v>381804</v>
      </c>
    </row>
    <row r="2582">
      <c r="A2582" s="2">
        <f>IFERROR(__xludf.DUMMYFUNCTION("""COMPUTED_VALUE"""),43927.66666666667)</f>
        <v>43927.66667</v>
      </c>
      <c r="B2582" s="1">
        <f>IFERROR(__xludf.DUMMYFUNCTION("""COMPUTED_VALUE"""),22.39)</f>
        <v>22.39</v>
      </c>
      <c r="C2582" s="1">
        <f>IFERROR(__xludf.DUMMYFUNCTION("""COMPUTED_VALUE"""),23.3)</f>
        <v>23.3</v>
      </c>
      <c r="D2582" s="1">
        <f>IFERROR(__xludf.DUMMYFUNCTION("""COMPUTED_VALUE"""),22.29)</f>
        <v>22.29</v>
      </c>
      <c r="E2582" s="1">
        <f>IFERROR(__xludf.DUMMYFUNCTION("""COMPUTED_VALUE"""),23.2)</f>
        <v>23.2</v>
      </c>
      <c r="F2582" s="1">
        <f>IFERROR(__xludf.DUMMYFUNCTION("""COMPUTED_VALUE"""),582303.0)</f>
        <v>582303</v>
      </c>
    </row>
    <row r="2583">
      <c r="A2583" s="2">
        <f>IFERROR(__xludf.DUMMYFUNCTION("""COMPUTED_VALUE"""),43928.66666666667)</f>
        <v>43928.66667</v>
      </c>
      <c r="B2583" s="1">
        <f>IFERROR(__xludf.DUMMYFUNCTION("""COMPUTED_VALUE"""),24.71)</f>
        <v>24.71</v>
      </c>
      <c r="C2583" s="1">
        <f>IFERROR(__xludf.DUMMYFUNCTION("""COMPUTED_VALUE"""),25.1)</f>
        <v>25.1</v>
      </c>
      <c r="D2583" s="1">
        <f>IFERROR(__xludf.DUMMYFUNCTION("""COMPUTED_VALUE"""),23.06)</f>
        <v>23.06</v>
      </c>
      <c r="E2583" s="1">
        <f>IFERROR(__xludf.DUMMYFUNCTION("""COMPUTED_VALUE"""),23.28)</f>
        <v>23.28</v>
      </c>
      <c r="F2583" s="1">
        <f>IFERROR(__xludf.DUMMYFUNCTION("""COMPUTED_VALUE"""),743098.0)</f>
        <v>743098</v>
      </c>
    </row>
    <row r="2584">
      <c r="A2584" s="2">
        <f>IFERROR(__xludf.DUMMYFUNCTION("""COMPUTED_VALUE"""),43929.66666666667)</f>
        <v>43929.66667</v>
      </c>
      <c r="B2584" s="1">
        <f>IFERROR(__xludf.DUMMYFUNCTION("""COMPUTED_VALUE"""),23.81)</f>
        <v>23.81</v>
      </c>
      <c r="C2584" s="1">
        <f>IFERROR(__xludf.DUMMYFUNCTION("""COMPUTED_VALUE"""),24.62)</f>
        <v>24.62</v>
      </c>
      <c r="D2584" s="1">
        <f>IFERROR(__xludf.DUMMYFUNCTION("""COMPUTED_VALUE"""),23.04)</f>
        <v>23.04</v>
      </c>
      <c r="E2584" s="1">
        <f>IFERROR(__xludf.DUMMYFUNCTION("""COMPUTED_VALUE"""),24.16)</f>
        <v>24.16</v>
      </c>
      <c r="F2584" s="1">
        <f>IFERROR(__xludf.DUMMYFUNCTION("""COMPUTED_VALUE"""),604043.0)</f>
        <v>604043</v>
      </c>
    </row>
    <row r="2585">
      <c r="A2585" s="2">
        <f>IFERROR(__xludf.DUMMYFUNCTION("""COMPUTED_VALUE"""),43930.66666666667)</f>
        <v>43930.66667</v>
      </c>
      <c r="B2585" s="1">
        <f>IFERROR(__xludf.DUMMYFUNCTION("""COMPUTED_VALUE"""),25.0)</f>
        <v>25</v>
      </c>
      <c r="C2585" s="1">
        <f>IFERROR(__xludf.DUMMYFUNCTION("""COMPUTED_VALUE"""),26.48)</f>
        <v>26.48</v>
      </c>
      <c r="D2585" s="1">
        <f>IFERROR(__xludf.DUMMYFUNCTION("""COMPUTED_VALUE"""),24.79)</f>
        <v>24.79</v>
      </c>
      <c r="E2585" s="1">
        <f>IFERROR(__xludf.DUMMYFUNCTION("""COMPUTED_VALUE"""),26.2)</f>
        <v>26.2</v>
      </c>
      <c r="F2585" s="1">
        <f>IFERROR(__xludf.DUMMYFUNCTION("""COMPUTED_VALUE"""),628024.0)</f>
        <v>628024</v>
      </c>
    </row>
    <row r="2586">
      <c r="A2586" s="2">
        <f>IFERROR(__xludf.DUMMYFUNCTION("""COMPUTED_VALUE"""),43934.66666666667)</f>
        <v>43934.66667</v>
      </c>
      <c r="B2586" s="1">
        <f>IFERROR(__xludf.DUMMYFUNCTION("""COMPUTED_VALUE"""),26.08)</f>
        <v>26.08</v>
      </c>
      <c r="C2586" s="1">
        <f>IFERROR(__xludf.DUMMYFUNCTION("""COMPUTED_VALUE"""),26.14)</f>
        <v>26.14</v>
      </c>
      <c r="D2586" s="1">
        <f>IFERROR(__xludf.DUMMYFUNCTION("""COMPUTED_VALUE"""),24.22)</f>
        <v>24.22</v>
      </c>
      <c r="E2586" s="1">
        <f>IFERROR(__xludf.DUMMYFUNCTION("""COMPUTED_VALUE"""),24.5)</f>
        <v>24.5</v>
      </c>
      <c r="F2586" s="1">
        <f>IFERROR(__xludf.DUMMYFUNCTION("""COMPUTED_VALUE"""),348932.0)</f>
        <v>348932</v>
      </c>
    </row>
    <row r="2587">
      <c r="A2587" s="2">
        <f>IFERROR(__xludf.DUMMYFUNCTION("""COMPUTED_VALUE"""),43935.66666666667)</f>
        <v>43935.66667</v>
      </c>
      <c r="B2587" s="1">
        <f>IFERROR(__xludf.DUMMYFUNCTION("""COMPUTED_VALUE"""),25.26)</f>
        <v>25.26</v>
      </c>
      <c r="C2587" s="1">
        <f>IFERROR(__xludf.DUMMYFUNCTION("""COMPUTED_VALUE"""),25.26)</f>
        <v>25.26</v>
      </c>
      <c r="D2587" s="1">
        <f>IFERROR(__xludf.DUMMYFUNCTION("""COMPUTED_VALUE"""),23.74)</f>
        <v>23.74</v>
      </c>
      <c r="E2587" s="1">
        <f>IFERROR(__xludf.DUMMYFUNCTION("""COMPUTED_VALUE"""),24.22)</f>
        <v>24.22</v>
      </c>
      <c r="F2587" s="1">
        <f>IFERROR(__xludf.DUMMYFUNCTION("""COMPUTED_VALUE"""),350428.0)</f>
        <v>350428</v>
      </c>
    </row>
    <row r="2588">
      <c r="A2588" s="2">
        <f>IFERROR(__xludf.DUMMYFUNCTION("""COMPUTED_VALUE"""),43936.66666666667)</f>
        <v>43936.66667</v>
      </c>
      <c r="B2588" s="1">
        <f>IFERROR(__xludf.DUMMYFUNCTION("""COMPUTED_VALUE"""),23.09)</f>
        <v>23.09</v>
      </c>
      <c r="C2588" s="1">
        <f>IFERROR(__xludf.DUMMYFUNCTION("""COMPUTED_VALUE"""),23.71)</f>
        <v>23.71</v>
      </c>
      <c r="D2588" s="1">
        <f>IFERROR(__xludf.DUMMYFUNCTION("""COMPUTED_VALUE"""),22.77)</f>
        <v>22.77</v>
      </c>
      <c r="E2588" s="1">
        <f>IFERROR(__xludf.DUMMYFUNCTION("""COMPUTED_VALUE"""),23.01)</f>
        <v>23.01</v>
      </c>
      <c r="F2588" s="1">
        <f>IFERROR(__xludf.DUMMYFUNCTION("""COMPUTED_VALUE"""),412796.0)</f>
        <v>412796</v>
      </c>
    </row>
    <row r="2589">
      <c r="A2589" s="2">
        <f>IFERROR(__xludf.DUMMYFUNCTION("""COMPUTED_VALUE"""),43937.66666666667)</f>
        <v>43937.66667</v>
      </c>
      <c r="B2589" s="1">
        <f>IFERROR(__xludf.DUMMYFUNCTION("""COMPUTED_VALUE"""),22.94)</f>
        <v>22.94</v>
      </c>
      <c r="C2589" s="1">
        <f>IFERROR(__xludf.DUMMYFUNCTION("""COMPUTED_VALUE"""),23.06)</f>
        <v>23.06</v>
      </c>
      <c r="D2589" s="1">
        <f>IFERROR(__xludf.DUMMYFUNCTION("""COMPUTED_VALUE"""),21.28)</f>
        <v>21.28</v>
      </c>
      <c r="E2589" s="1">
        <f>IFERROR(__xludf.DUMMYFUNCTION("""COMPUTED_VALUE"""),21.97)</f>
        <v>21.97</v>
      </c>
      <c r="F2589" s="1">
        <f>IFERROR(__xludf.DUMMYFUNCTION("""COMPUTED_VALUE"""),430997.0)</f>
        <v>430997</v>
      </c>
    </row>
    <row r="2590">
      <c r="A2590" s="2">
        <f>IFERROR(__xludf.DUMMYFUNCTION("""COMPUTED_VALUE"""),43938.66666666667)</f>
        <v>43938.66667</v>
      </c>
      <c r="B2590" s="1">
        <f>IFERROR(__xludf.DUMMYFUNCTION("""COMPUTED_VALUE"""),22.78)</f>
        <v>22.78</v>
      </c>
      <c r="C2590" s="1">
        <f>IFERROR(__xludf.DUMMYFUNCTION("""COMPUTED_VALUE"""),23.81)</f>
        <v>23.81</v>
      </c>
      <c r="D2590" s="1">
        <f>IFERROR(__xludf.DUMMYFUNCTION("""COMPUTED_VALUE"""),22.78)</f>
        <v>22.78</v>
      </c>
      <c r="E2590" s="1">
        <f>IFERROR(__xludf.DUMMYFUNCTION("""COMPUTED_VALUE"""),23.43)</f>
        <v>23.43</v>
      </c>
      <c r="F2590" s="1">
        <f>IFERROR(__xludf.DUMMYFUNCTION("""COMPUTED_VALUE"""),432146.0)</f>
        <v>432146</v>
      </c>
    </row>
    <row r="2591">
      <c r="A2591" s="2">
        <f>IFERROR(__xludf.DUMMYFUNCTION("""COMPUTED_VALUE"""),43941.66666666667)</f>
        <v>43941.66667</v>
      </c>
      <c r="B2591" s="1">
        <f>IFERROR(__xludf.DUMMYFUNCTION("""COMPUTED_VALUE"""),22.73)</f>
        <v>22.73</v>
      </c>
      <c r="C2591" s="1">
        <f>IFERROR(__xludf.DUMMYFUNCTION("""COMPUTED_VALUE"""),24.05)</f>
        <v>24.05</v>
      </c>
      <c r="D2591" s="1">
        <f>IFERROR(__xludf.DUMMYFUNCTION("""COMPUTED_VALUE"""),22.29)</f>
        <v>22.29</v>
      </c>
      <c r="E2591" s="1">
        <f>IFERROR(__xludf.DUMMYFUNCTION("""COMPUTED_VALUE"""),23.45)</f>
        <v>23.45</v>
      </c>
      <c r="F2591" s="1">
        <f>IFERROR(__xludf.DUMMYFUNCTION("""COMPUTED_VALUE"""),299268.0)</f>
        <v>299268</v>
      </c>
    </row>
    <row r="2592">
      <c r="A2592" s="2">
        <f>IFERROR(__xludf.DUMMYFUNCTION("""COMPUTED_VALUE"""),43942.66666666667)</f>
        <v>43942.66667</v>
      </c>
      <c r="B2592" s="1">
        <f>IFERROR(__xludf.DUMMYFUNCTION("""COMPUTED_VALUE"""),22.56)</f>
        <v>22.56</v>
      </c>
      <c r="C2592" s="1">
        <f>IFERROR(__xludf.DUMMYFUNCTION("""COMPUTED_VALUE"""),23.35)</f>
        <v>23.35</v>
      </c>
      <c r="D2592" s="1">
        <f>IFERROR(__xludf.DUMMYFUNCTION("""COMPUTED_VALUE"""),22.43)</f>
        <v>22.43</v>
      </c>
      <c r="E2592" s="1">
        <f>IFERROR(__xludf.DUMMYFUNCTION("""COMPUTED_VALUE"""),22.96)</f>
        <v>22.96</v>
      </c>
      <c r="F2592" s="1">
        <f>IFERROR(__xludf.DUMMYFUNCTION("""COMPUTED_VALUE"""),279327.0)</f>
        <v>279327</v>
      </c>
    </row>
    <row r="2593">
      <c r="A2593" s="2">
        <f>IFERROR(__xludf.DUMMYFUNCTION("""COMPUTED_VALUE"""),43943.66666666667)</f>
        <v>43943.66667</v>
      </c>
      <c r="B2593" s="1">
        <f>IFERROR(__xludf.DUMMYFUNCTION("""COMPUTED_VALUE"""),23.55)</f>
        <v>23.55</v>
      </c>
      <c r="C2593" s="1">
        <f>IFERROR(__xludf.DUMMYFUNCTION("""COMPUTED_VALUE"""),23.82)</f>
        <v>23.82</v>
      </c>
      <c r="D2593" s="1">
        <f>IFERROR(__xludf.DUMMYFUNCTION("""COMPUTED_VALUE"""),22.57)</f>
        <v>22.57</v>
      </c>
      <c r="E2593" s="1">
        <f>IFERROR(__xludf.DUMMYFUNCTION("""COMPUTED_VALUE"""),22.71)</f>
        <v>22.71</v>
      </c>
      <c r="F2593" s="1">
        <f>IFERROR(__xludf.DUMMYFUNCTION("""COMPUTED_VALUE"""),277637.0)</f>
        <v>277637</v>
      </c>
    </row>
    <row r="2594">
      <c r="A2594" s="2">
        <f>IFERROR(__xludf.DUMMYFUNCTION("""COMPUTED_VALUE"""),43944.66666666667)</f>
        <v>43944.66667</v>
      </c>
      <c r="B2594" s="1">
        <f>IFERROR(__xludf.DUMMYFUNCTION("""COMPUTED_VALUE"""),22.91)</f>
        <v>22.91</v>
      </c>
      <c r="C2594" s="1">
        <f>IFERROR(__xludf.DUMMYFUNCTION("""COMPUTED_VALUE"""),23.78)</f>
        <v>23.78</v>
      </c>
      <c r="D2594" s="1">
        <f>IFERROR(__xludf.DUMMYFUNCTION("""COMPUTED_VALUE"""),22.78)</f>
        <v>22.78</v>
      </c>
      <c r="E2594" s="1">
        <f>IFERROR(__xludf.DUMMYFUNCTION("""COMPUTED_VALUE"""),23.27)</f>
        <v>23.27</v>
      </c>
      <c r="F2594" s="1">
        <f>IFERROR(__xludf.DUMMYFUNCTION("""COMPUTED_VALUE"""),356375.0)</f>
        <v>356375</v>
      </c>
    </row>
    <row r="2595">
      <c r="A2595" s="2">
        <f>IFERROR(__xludf.DUMMYFUNCTION("""COMPUTED_VALUE"""),43945.66666666667)</f>
        <v>43945.66667</v>
      </c>
      <c r="B2595" s="1">
        <f>IFERROR(__xludf.DUMMYFUNCTION("""COMPUTED_VALUE"""),23.4)</f>
        <v>23.4</v>
      </c>
      <c r="C2595" s="1">
        <f>IFERROR(__xludf.DUMMYFUNCTION("""COMPUTED_VALUE"""),24.04)</f>
        <v>24.04</v>
      </c>
      <c r="D2595" s="1">
        <f>IFERROR(__xludf.DUMMYFUNCTION("""COMPUTED_VALUE"""),23.03)</f>
        <v>23.03</v>
      </c>
      <c r="E2595" s="1">
        <f>IFERROR(__xludf.DUMMYFUNCTION("""COMPUTED_VALUE"""),23.88)</f>
        <v>23.88</v>
      </c>
      <c r="F2595" s="1">
        <f>IFERROR(__xludf.DUMMYFUNCTION("""COMPUTED_VALUE"""),346021.0)</f>
        <v>346021</v>
      </c>
    </row>
    <row r="2596">
      <c r="A2596" s="2">
        <f>IFERROR(__xludf.DUMMYFUNCTION("""COMPUTED_VALUE"""),43948.66666666667)</f>
        <v>43948.66667</v>
      </c>
      <c r="B2596" s="1">
        <f>IFERROR(__xludf.DUMMYFUNCTION("""COMPUTED_VALUE"""),24.28)</f>
        <v>24.28</v>
      </c>
      <c r="C2596" s="1">
        <f>IFERROR(__xludf.DUMMYFUNCTION("""COMPUTED_VALUE"""),25.9)</f>
        <v>25.9</v>
      </c>
      <c r="D2596" s="1">
        <f>IFERROR(__xludf.DUMMYFUNCTION("""COMPUTED_VALUE"""),23.93)</f>
        <v>23.93</v>
      </c>
      <c r="E2596" s="1">
        <f>IFERROR(__xludf.DUMMYFUNCTION("""COMPUTED_VALUE"""),25.4)</f>
        <v>25.4</v>
      </c>
      <c r="F2596" s="1">
        <f>IFERROR(__xludf.DUMMYFUNCTION("""COMPUTED_VALUE"""),453464.0)</f>
        <v>453464</v>
      </c>
    </row>
    <row r="2597">
      <c r="A2597" s="2">
        <f>IFERROR(__xludf.DUMMYFUNCTION("""COMPUTED_VALUE"""),43949.66666666667)</f>
        <v>43949.66667</v>
      </c>
      <c r="B2597" s="1">
        <f>IFERROR(__xludf.DUMMYFUNCTION("""COMPUTED_VALUE"""),25.52)</f>
        <v>25.52</v>
      </c>
      <c r="C2597" s="1">
        <f>IFERROR(__xludf.DUMMYFUNCTION("""COMPUTED_VALUE"""),26.94)</f>
        <v>26.94</v>
      </c>
      <c r="D2597" s="1">
        <f>IFERROR(__xludf.DUMMYFUNCTION("""COMPUTED_VALUE"""),25.45)</f>
        <v>25.45</v>
      </c>
      <c r="E2597" s="1">
        <f>IFERROR(__xludf.DUMMYFUNCTION("""COMPUTED_VALUE"""),26.55)</f>
        <v>26.55</v>
      </c>
      <c r="F2597" s="1">
        <f>IFERROR(__xludf.DUMMYFUNCTION("""COMPUTED_VALUE"""),566722.0)</f>
        <v>566722</v>
      </c>
    </row>
    <row r="2598">
      <c r="A2598" s="2">
        <f>IFERROR(__xludf.DUMMYFUNCTION("""COMPUTED_VALUE"""),43950.66666666667)</f>
        <v>43950.66667</v>
      </c>
      <c r="B2598" s="1">
        <f>IFERROR(__xludf.DUMMYFUNCTION("""COMPUTED_VALUE"""),27.56)</f>
        <v>27.56</v>
      </c>
      <c r="C2598" s="1">
        <f>IFERROR(__xludf.DUMMYFUNCTION("""COMPUTED_VALUE"""),29.25)</f>
        <v>29.25</v>
      </c>
      <c r="D2598" s="1">
        <f>IFERROR(__xludf.DUMMYFUNCTION("""COMPUTED_VALUE"""),27.09)</f>
        <v>27.09</v>
      </c>
      <c r="E2598" s="1">
        <f>IFERROR(__xludf.DUMMYFUNCTION("""COMPUTED_VALUE"""),28.9)</f>
        <v>28.9</v>
      </c>
      <c r="F2598" s="1">
        <f>IFERROR(__xludf.DUMMYFUNCTION("""COMPUTED_VALUE"""),579671.0)</f>
        <v>579671</v>
      </c>
    </row>
    <row r="2599">
      <c r="A2599" s="2">
        <f>IFERROR(__xludf.DUMMYFUNCTION("""COMPUTED_VALUE"""),43951.66666666667)</f>
        <v>43951.66667</v>
      </c>
      <c r="B2599" s="1">
        <f>IFERROR(__xludf.DUMMYFUNCTION("""COMPUTED_VALUE"""),27.82)</f>
        <v>27.82</v>
      </c>
      <c r="C2599" s="1">
        <f>IFERROR(__xludf.DUMMYFUNCTION("""COMPUTED_VALUE"""),28.26)</f>
        <v>28.26</v>
      </c>
      <c r="D2599" s="1">
        <f>IFERROR(__xludf.DUMMYFUNCTION("""COMPUTED_VALUE"""),27.31)</f>
        <v>27.31</v>
      </c>
      <c r="E2599" s="1">
        <f>IFERROR(__xludf.DUMMYFUNCTION("""COMPUTED_VALUE"""),27.92)</f>
        <v>27.92</v>
      </c>
      <c r="F2599" s="1">
        <f>IFERROR(__xludf.DUMMYFUNCTION("""COMPUTED_VALUE"""),508949.0)</f>
        <v>508949</v>
      </c>
    </row>
    <row r="2600">
      <c r="A2600" s="2">
        <f>IFERROR(__xludf.DUMMYFUNCTION("""COMPUTED_VALUE"""),43952.66666666667)</f>
        <v>43952.66667</v>
      </c>
      <c r="B2600" s="1">
        <f>IFERROR(__xludf.DUMMYFUNCTION("""COMPUTED_VALUE"""),27.09)</f>
        <v>27.09</v>
      </c>
      <c r="C2600" s="1">
        <f>IFERROR(__xludf.DUMMYFUNCTION("""COMPUTED_VALUE"""),27.2)</f>
        <v>27.2</v>
      </c>
      <c r="D2600" s="1">
        <f>IFERROR(__xludf.DUMMYFUNCTION("""COMPUTED_VALUE"""),25.76)</f>
        <v>25.76</v>
      </c>
      <c r="E2600" s="1">
        <f>IFERROR(__xludf.DUMMYFUNCTION("""COMPUTED_VALUE"""),26.19)</f>
        <v>26.19</v>
      </c>
      <c r="F2600" s="1">
        <f>IFERROR(__xludf.DUMMYFUNCTION("""COMPUTED_VALUE"""),420940.0)</f>
        <v>420940</v>
      </c>
    </row>
    <row r="2601">
      <c r="A2601" s="2">
        <f>IFERROR(__xludf.DUMMYFUNCTION("""COMPUTED_VALUE"""),43955.66666666667)</f>
        <v>43955.66667</v>
      </c>
      <c r="B2601" s="1">
        <f>IFERROR(__xludf.DUMMYFUNCTION("""COMPUTED_VALUE"""),25.81)</f>
        <v>25.81</v>
      </c>
      <c r="C2601" s="1">
        <f>IFERROR(__xludf.DUMMYFUNCTION("""COMPUTED_VALUE"""),26.01)</f>
        <v>26.01</v>
      </c>
      <c r="D2601" s="1">
        <f>IFERROR(__xludf.DUMMYFUNCTION("""COMPUTED_VALUE"""),25.28)</f>
        <v>25.28</v>
      </c>
      <c r="E2601" s="1">
        <f>IFERROR(__xludf.DUMMYFUNCTION("""COMPUTED_VALUE"""),25.71)</f>
        <v>25.71</v>
      </c>
      <c r="F2601" s="1">
        <f>IFERROR(__xludf.DUMMYFUNCTION("""COMPUTED_VALUE"""),349108.0)</f>
        <v>349108</v>
      </c>
    </row>
    <row r="2602">
      <c r="A2602" s="2">
        <f>IFERROR(__xludf.DUMMYFUNCTION("""COMPUTED_VALUE"""),43956.66666666667)</f>
        <v>43956.66667</v>
      </c>
      <c r="B2602" s="1">
        <f>IFERROR(__xludf.DUMMYFUNCTION("""COMPUTED_VALUE"""),26.37)</f>
        <v>26.37</v>
      </c>
      <c r="C2602" s="1">
        <f>IFERROR(__xludf.DUMMYFUNCTION("""COMPUTED_VALUE"""),26.47)</f>
        <v>26.47</v>
      </c>
      <c r="D2602" s="1">
        <f>IFERROR(__xludf.DUMMYFUNCTION("""COMPUTED_VALUE"""),24.75)</f>
        <v>24.75</v>
      </c>
      <c r="E2602" s="1">
        <f>IFERROR(__xludf.DUMMYFUNCTION("""COMPUTED_VALUE"""),24.78)</f>
        <v>24.78</v>
      </c>
      <c r="F2602" s="1">
        <f>IFERROR(__xludf.DUMMYFUNCTION("""COMPUTED_VALUE"""),342059.0)</f>
        <v>342059</v>
      </c>
    </row>
    <row r="2603">
      <c r="A2603" s="2">
        <f>IFERROR(__xludf.DUMMYFUNCTION("""COMPUTED_VALUE"""),43957.66666666667)</f>
        <v>43957.66667</v>
      </c>
      <c r="B2603" s="1">
        <f>IFERROR(__xludf.DUMMYFUNCTION("""COMPUTED_VALUE"""),24.97)</f>
        <v>24.97</v>
      </c>
      <c r="C2603" s="1">
        <f>IFERROR(__xludf.DUMMYFUNCTION("""COMPUTED_VALUE"""),25.38)</f>
        <v>25.38</v>
      </c>
      <c r="D2603" s="1">
        <f>IFERROR(__xludf.DUMMYFUNCTION("""COMPUTED_VALUE"""),23.65)</f>
        <v>23.65</v>
      </c>
      <c r="E2603" s="1">
        <f>IFERROR(__xludf.DUMMYFUNCTION("""COMPUTED_VALUE"""),23.95)</f>
        <v>23.95</v>
      </c>
      <c r="F2603" s="1">
        <f>IFERROR(__xludf.DUMMYFUNCTION("""COMPUTED_VALUE"""),357330.0)</f>
        <v>357330</v>
      </c>
    </row>
    <row r="2604">
      <c r="A2604" s="2">
        <f>IFERROR(__xludf.DUMMYFUNCTION("""COMPUTED_VALUE"""),43958.66666666667)</f>
        <v>43958.66667</v>
      </c>
      <c r="B2604" s="1">
        <f>IFERROR(__xludf.DUMMYFUNCTION("""COMPUTED_VALUE"""),24.43)</f>
        <v>24.43</v>
      </c>
      <c r="C2604" s="1">
        <f>IFERROR(__xludf.DUMMYFUNCTION("""COMPUTED_VALUE"""),24.96)</f>
        <v>24.96</v>
      </c>
      <c r="D2604" s="1">
        <f>IFERROR(__xludf.DUMMYFUNCTION("""COMPUTED_VALUE"""),24.19)</f>
        <v>24.19</v>
      </c>
      <c r="E2604" s="1">
        <f>IFERROR(__xludf.DUMMYFUNCTION("""COMPUTED_VALUE"""),24.34)</f>
        <v>24.34</v>
      </c>
      <c r="F2604" s="1">
        <f>IFERROR(__xludf.DUMMYFUNCTION("""COMPUTED_VALUE"""),351283.0)</f>
        <v>351283</v>
      </c>
    </row>
    <row r="2605">
      <c r="A2605" s="2">
        <f>IFERROR(__xludf.DUMMYFUNCTION("""COMPUTED_VALUE"""),43959.66666666667)</f>
        <v>43959.66667</v>
      </c>
      <c r="B2605" s="1">
        <f>IFERROR(__xludf.DUMMYFUNCTION("""COMPUTED_VALUE"""),25.11)</f>
        <v>25.11</v>
      </c>
      <c r="C2605" s="1">
        <f>IFERROR(__xludf.DUMMYFUNCTION("""COMPUTED_VALUE"""),26.26)</f>
        <v>26.26</v>
      </c>
      <c r="D2605" s="1">
        <f>IFERROR(__xludf.DUMMYFUNCTION("""COMPUTED_VALUE"""),25.11)</f>
        <v>25.11</v>
      </c>
      <c r="E2605" s="1">
        <f>IFERROR(__xludf.DUMMYFUNCTION("""COMPUTED_VALUE"""),26.22)</f>
        <v>26.22</v>
      </c>
      <c r="F2605" s="1">
        <f>IFERROR(__xludf.DUMMYFUNCTION("""COMPUTED_VALUE"""),363156.0)</f>
        <v>363156</v>
      </c>
    </row>
    <row r="2606">
      <c r="A2606" s="2">
        <f>IFERROR(__xludf.DUMMYFUNCTION("""COMPUTED_VALUE"""),43962.66666666667)</f>
        <v>43962.66667</v>
      </c>
      <c r="B2606" s="1">
        <f>IFERROR(__xludf.DUMMYFUNCTION("""COMPUTED_VALUE"""),25.6)</f>
        <v>25.6</v>
      </c>
      <c r="C2606" s="1">
        <f>IFERROR(__xludf.DUMMYFUNCTION("""COMPUTED_VALUE"""),25.62)</f>
        <v>25.62</v>
      </c>
      <c r="D2606" s="1">
        <f>IFERROR(__xludf.DUMMYFUNCTION("""COMPUTED_VALUE"""),24.74)</f>
        <v>24.74</v>
      </c>
      <c r="E2606" s="1">
        <f>IFERROR(__xludf.DUMMYFUNCTION("""COMPUTED_VALUE"""),25.44)</f>
        <v>25.44</v>
      </c>
      <c r="F2606" s="1">
        <f>IFERROR(__xludf.DUMMYFUNCTION("""COMPUTED_VALUE"""),683596.0)</f>
        <v>683596</v>
      </c>
    </row>
    <row r="2607">
      <c r="A2607" s="2">
        <f>IFERROR(__xludf.DUMMYFUNCTION("""COMPUTED_VALUE"""),43963.66666666667)</f>
        <v>43963.66667</v>
      </c>
      <c r="B2607" s="1">
        <f>IFERROR(__xludf.DUMMYFUNCTION("""COMPUTED_VALUE"""),25.54)</f>
        <v>25.54</v>
      </c>
      <c r="C2607" s="1">
        <f>IFERROR(__xludf.DUMMYFUNCTION("""COMPUTED_VALUE"""),25.54)</f>
        <v>25.54</v>
      </c>
      <c r="D2607" s="1">
        <f>IFERROR(__xludf.DUMMYFUNCTION("""COMPUTED_VALUE"""),24.45)</f>
        <v>24.45</v>
      </c>
      <c r="E2607" s="1">
        <f>IFERROR(__xludf.DUMMYFUNCTION("""COMPUTED_VALUE"""),24.49)</f>
        <v>24.49</v>
      </c>
      <c r="F2607" s="1">
        <f>IFERROR(__xludf.DUMMYFUNCTION("""COMPUTED_VALUE"""),599138.0)</f>
        <v>599138</v>
      </c>
    </row>
    <row r="2608">
      <c r="A2608" s="2">
        <f>IFERROR(__xludf.DUMMYFUNCTION("""COMPUTED_VALUE"""),43964.66666666667)</f>
        <v>43964.66667</v>
      </c>
      <c r="B2608" s="1">
        <f>IFERROR(__xludf.DUMMYFUNCTION("""COMPUTED_VALUE"""),24.07)</f>
        <v>24.07</v>
      </c>
      <c r="C2608" s="1">
        <f>IFERROR(__xludf.DUMMYFUNCTION("""COMPUTED_VALUE"""),24.1)</f>
        <v>24.1</v>
      </c>
      <c r="D2608" s="1">
        <f>IFERROR(__xludf.DUMMYFUNCTION("""COMPUTED_VALUE"""),22.23)</f>
        <v>22.23</v>
      </c>
      <c r="E2608" s="1">
        <f>IFERROR(__xludf.DUMMYFUNCTION("""COMPUTED_VALUE"""),22.7)</f>
        <v>22.7</v>
      </c>
      <c r="F2608" s="1">
        <f>IFERROR(__xludf.DUMMYFUNCTION("""COMPUTED_VALUE"""),504809.0)</f>
        <v>504809</v>
      </c>
    </row>
    <row r="2609">
      <c r="A2609" s="2">
        <f>IFERROR(__xludf.DUMMYFUNCTION("""COMPUTED_VALUE"""),43965.66666666667)</f>
        <v>43965.66667</v>
      </c>
      <c r="B2609" s="1">
        <f>IFERROR(__xludf.DUMMYFUNCTION("""COMPUTED_VALUE"""),22.05)</f>
        <v>22.05</v>
      </c>
      <c r="C2609" s="1">
        <f>IFERROR(__xludf.DUMMYFUNCTION("""COMPUTED_VALUE"""),23.05)</f>
        <v>23.05</v>
      </c>
      <c r="D2609" s="1">
        <f>IFERROR(__xludf.DUMMYFUNCTION("""COMPUTED_VALUE"""),21.42)</f>
        <v>21.42</v>
      </c>
      <c r="E2609" s="1">
        <f>IFERROR(__xludf.DUMMYFUNCTION("""COMPUTED_VALUE"""),23.0)</f>
        <v>23</v>
      </c>
      <c r="F2609" s="1">
        <f>IFERROR(__xludf.DUMMYFUNCTION("""COMPUTED_VALUE"""),594764.0)</f>
        <v>594764</v>
      </c>
    </row>
    <row r="2610">
      <c r="A2610" s="2">
        <f>IFERROR(__xludf.DUMMYFUNCTION("""COMPUTED_VALUE"""),43966.66666666667)</f>
        <v>43966.66667</v>
      </c>
      <c r="B2610" s="1">
        <f>IFERROR(__xludf.DUMMYFUNCTION("""COMPUTED_VALUE"""),22.57)</f>
        <v>22.57</v>
      </c>
      <c r="C2610" s="1">
        <f>IFERROR(__xludf.DUMMYFUNCTION("""COMPUTED_VALUE"""),23.03)</f>
        <v>23.03</v>
      </c>
      <c r="D2610" s="1">
        <f>IFERROR(__xludf.DUMMYFUNCTION("""COMPUTED_VALUE"""),22.56)</f>
        <v>22.56</v>
      </c>
      <c r="E2610" s="1">
        <f>IFERROR(__xludf.DUMMYFUNCTION("""COMPUTED_VALUE"""),22.79)</f>
        <v>22.79</v>
      </c>
      <c r="F2610" s="1">
        <f>IFERROR(__xludf.DUMMYFUNCTION("""COMPUTED_VALUE"""),385996.0)</f>
        <v>385996</v>
      </c>
    </row>
    <row r="2611">
      <c r="A2611" s="2">
        <f>IFERROR(__xludf.DUMMYFUNCTION("""COMPUTED_VALUE"""),43969.66666666667)</f>
        <v>43969.66667</v>
      </c>
      <c r="B2611" s="1">
        <f>IFERROR(__xludf.DUMMYFUNCTION("""COMPUTED_VALUE"""),24.2)</f>
        <v>24.2</v>
      </c>
      <c r="C2611" s="1">
        <f>IFERROR(__xludf.DUMMYFUNCTION("""COMPUTED_VALUE"""),25.53)</f>
        <v>25.53</v>
      </c>
      <c r="D2611" s="1">
        <f>IFERROR(__xludf.DUMMYFUNCTION("""COMPUTED_VALUE"""),23.88)</f>
        <v>23.88</v>
      </c>
      <c r="E2611" s="1">
        <f>IFERROR(__xludf.DUMMYFUNCTION("""COMPUTED_VALUE"""),25.42)</f>
        <v>25.42</v>
      </c>
      <c r="F2611" s="1">
        <f>IFERROR(__xludf.DUMMYFUNCTION("""COMPUTED_VALUE"""),515258.0)</f>
        <v>515258</v>
      </c>
    </row>
    <row r="2612">
      <c r="A2612" s="2">
        <f>IFERROR(__xludf.DUMMYFUNCTION("""COMPUTED_VALUE"""),43970.66666666667)</f>
        <v>43970.66667</v>
      </c>
      <c r="B2612" s="1">
        <f>IFERROR(__xludf.DUMMYFUNCTION("""COMPUTED_VALUE"""),25.16)</f>
        <v>25.16</v>
      </c>
      <c r="C2612" s="1">
        <f>IFERROR(__xludf.DUMMYFUNCTION("""COMPUTED_VALUE"""),25.23)</f>
        <v>25.23</v>
      </c>
      <c r="D2612" s="1">
        <f>IFERROR(__xludf.DUMMYFUNCTION("""COMPUTED_VALUE"""),23.99)</f>
        <v>23.99</v>
      </c>
      <c r="E2612" s="1">
        <f>IFERROR(__xludf.DUMMYFUNCTION("""COMPUTED_VALUE"""),24.0)</f>
        <v>24</v>
      </c>
      <c r="F2612" s="1">
        <f>IFERROR(__xludf.DUMMYFUNCTION("""COMPUTED_VALUE"""),318512.0)</f>
        <v>318512</v>
      </c>
    </row>
    <row r="2613">
      <c r="A2613" s="2">
        <f>IFERROR(__xludf.DUMMYFUNCTION("""COMPUTED_VALUE"""),43971.66666666667)</f>
        <v>43971.66667</v>
      </c>
      <c r="B2613" s="1">
        <f>IFERROR(__xludf.DUMMYFUNCTION("""COMPUTED_VALUE"""),24.63)</f>
        <v>24.63</v>
      </c>
      <c r="C2613" s="1">
        <f>IFERROR(__xludf.DUMMYFUNCTION("""COMPUTED_VALUE"""),25.69)</f>
        <v>25.69</v>
      </c>
      <c r="D2613" s="1">
        <f>IFERROR(__xludf.DUMMYFUNCTION("""COMPUTED_VALUE"""),24.63)</f>
        <v>24.63</v>
      </c>
      <c r="E2613" s="1">
        <f>IFERROR(__xludf.DUMMYFUNCTION("""COMPUTED_VALUE"""),25.48)</f>
        <v>25.48</v>
      </c>
      <c r="F2613" s="1">
        <f>IFERROR(__xludf.DUMMYFUNCTION("""COMPUTED_VALUE"""),394484.0)</f>
        <v>394484</v>
      </c>
    </row>
    <row r="2614">
      <c r="A2614" s="2">
        <f>IFERROR(__xludf.DUMMYFUNCTION("""COMPUTED_VALUE"""),43972.66666666667)</f>
        <v>43972.66667</v>
      </c>
      <c r="B2614" s="1">
        <f>IFERROR(__xludf.DUMMYFUNCTION("""COMPUTED_VALUE"""),25.31)</f>
        <v>25.31</v>
      </c>
      <c r="C2614" s="1">
        <f>IFERROR(__xludf.DUMMYFUNCTION("""COMPUTED_VALUE"""),25.71)</f>
        <v>25.71</v>
      </c>
      <c r="D2614" s="1">
        <f>IFERROR(__xludf.DUMMYFUNCTION("""COMPUTED_VALUE"""),25.18)</f>
        <v>25.18</v>
      </c>
      <c r="E2614" s="1">
        <f>IFERROR(__xludf.DUMMYFUNCTION("""COMPUTED_VALUE"""),25.26)</f>
        <v>25.26</v>
      </c>
      <c r="F2614" s="1">
        <f>IFERROR(__xludf.DUMMYFUNCTION("""COMPUTED_VALUE"""),447288.0)</f>
        <v>447288</v>
      </c>
    </row>
    <row r="2615">
      <c r="A2615" s="2">
        <f>IFERROR(__xludf.DUMMYFUNCTION("""COMPUTED_VALUE"""),43973.66666666667)</f>
        <v>43973.66667</v>
      </c>
      <c r="B2615" s="1">
        <f>IFERROR(__xludf.DUMMYFUNCTION("""COMPUTED_VALUE"""),25.37)</f>
        <v>25.37</v>
      </c>
      <c r="C2615" s="1">
        <f>IFERROR(__xludf.DUMMYFUNCTION("""COMPUTED_VALUE"""),25.61)</f>
        <v>25.61</v>
      </c>
      <c r="D2615" s="1">
        <f>IFERROR(__xludf.DUMMYFUNCTION("""COMPUTED_VALUE"""),24.8)</f>
        <v>24.8</v>
      </c>
      <c r="E2615" s="1">
        <f>IFERROR(__xludf.DUMMYFUNCTION("""COMPUTED_VALUE"""),24.96)</f>
        <v>24.96</v>
      </c>
      <c r="F2615" s="1">
        <f>IFERROR(__xludf.DUMMYFUNCTION("""COMPUTED_VALUE"""),282976.0)</f>
        <v>282976</v>
      </c>
    </row>
    <row r="2616">
      <c r="A2616" s="2">
        <f>IFERROR(__xludf.DUMMYFUNCTION("""COMPUTED_VALUE"""),43977.66666666667)</f>
        <v>43977.66667</v>
      </c>
      <c r="B2616" s="1">
        <f>IFERROR(__xludf.DUMMYFUNCTION("""COMPUTED_VALUE"""),26.2)</f>
        <v>26.2</v>
      </c>
      <c r="C2616" s="1">
        <f>IFERROR(__xludf.DUMMYFUNCTION("""COMPUTED_VALUE"""),27.36)</f>
        <v>27.36</v>
      </c>
      <c r="D2616" s="1">
        <f>IFERROR(__xludf.DUMMYFUNCTION("""COMPUTED_VALUE"""),25.57)</f>
        <v>25.57</v>
      </c>
      <c r="E2616" s="1">
        <f>IFERROR(__xludf.DUMMYFUNCTION("""COMPUTED_VALUE"""),27.13)</f>
        <v>27.13</v>
      </c>
      <c r="F2616" s="1">
        <f>IFERROR(__xludf.DUMMYFUNCTION("""COMPUTED_VALUE"""),550415.0)</f>
        <v>550415</v>
      </c>
    </row>
    <row r="2617">
      <c r="A2617" s="2">
        <f>IFERROR(__xludf.DUMMYFUNCTION("""COMPUTED_VALUE"""),43978.66666666667)</f>
        <v>43978.66667</v>
      </c>
      <c r="B2617" s="1">
        <f>IFERROR(__xludf.DUMMYFUNCTION("""COMPUTED_VALUE"""),28.5)</f>
        <v>28.5</v>
      </c>
      <c r="C2617" s="1">
        <f>IFERROR(__xludf.DUMMYFUNCTION("""COMPUTED_VALUE"""),28.78)</f>
        <v>28.78</v>
      </c>
      <c r="D2617" s="1">
        <f>IFERROR(__xludf.DUMMYFUNCTION("""COMPUTED_VALUE"""),27.26)</f>
        <v>27.26</v>
      </c>
      <c r="E2617" s="1">
        <f>IFERROR(__xludf.DUMMYFUNCTION("""COMPUTED_VALUE"""),28.53)</f>
        <v>28.53</v>
      </c>
      <c r="F2617" s="1">
        <f>IFERROR(__xludf.DUMMYFUNCTION("""COMPUTED_VALUE"""),478254.0)</f>
        <v>478254</v>
      </c>
    </row>
    <row r="2618">
      <c r="A2618" s="2">
        <f>IFERROR(__xludf.DUMMYFUNCTION("""COMPUTED_VALUE"""),43979.66666666667)</f>
        <v>43979.66667</v>
      </c>
      <c r="B2618" s="1">
        <f>IFERROR(__xludf.DUMMYFUNCTION("""COMPUTED_VALUE"""),28.99)</f>
        <v>28.99</v>
      </c>
      <c r="C2618" s="1">
        <f>IFERROR(__xludf.DUMMYFUNCTION("""COMPUTED_VALUE"""),28.99)</f>
        <v>28.99</v>
      </c>
      <c r="D2618" s="1">
        <f>IFERROR(__xludf.DUMMYFUNCTION("""COMPUTED_VALUE"""),27.56)</f>
        <v>27.56</v>
      </c>
      <c r="E2618" s="1">
        <f>IFERROR(__xludf.DUMMYFUNCTION("""COMPUTED_VALUE"""),27.83)</f>
        <v>27.83</v>
      </c>
      <c r="F2618" s="1">
        <f>IFERROR(__xludf.DUMMYFUNCTION("""COMPUTED_VALUE"""),379605.0)</f>
        <v>379605</v>
      </c>
    </row>
    <row r="2619">
      <c r="A2619" s="2">
        <f>IFERROR(__xludf.DUMMYFUNCTION("""COMPUTED_VALUE"""),43980.66666666667)</f>
        <v>43980.66667</v>
      </c>
      <c r="B2619" s="1">
        <f>IFERROR(__xludf.DUMMYFUNCTION("""COMPUTED_VALUE"""),27.27)</f>
        <v>27.27</v>
      </c>
      <c r="C2619" s="1">
        <f>IFERROR(__xludf.DUMMYFUNCTION("""COMPUTED_VALUE"""),27.59)</f>
        <v>27.59</v>
      </c>
      <c r="D2619" s="1">
        <f>IFERROR(__xludf.DUMMYFUNCTION("""COMPUTED_VALUE"""),26.77)</f>
        <v>26.77</v>
      </c>
      <c r="E2619" s="1">
        <f>IFERROR(__xludf.DUMMYFUNCTION("""COMPUTED_VALUE"""),27.19)</f>
        <v>27.19</v>
      </c>
      <c r="F2619" s="1">
        <f>IFERROR(__xludf.DUMMYFUNCTION("""COMPUTED_VALUE"""),444649.0)</f>
        <v>444649</v>
      </c>
    </row>
    <row r="2620">
      <c r="A2620" s="2">
        <f>IFERROR(__xludf.DUMMYFUNCTION("""COMPUTED_VALUE"""),43983.66666666667)</f>
        <v>43983.66667</v>
      </c>
      <c r="B2620" s="1">
        <f>IFERROR(__xludf.DUMMYFUNCTION("""COMPUTED_VALUE"""),27.1)</f>
        <v>27.1</v>
      </c>
      <c r="C2620" s="1">
        <f>IFERROR(__xludf.DUMMYFUNCTION("""COMPUTED_VALUE"""),27.58)</f>
        <v>27.58</v>
      </c>
      <c r="D2620" s="1">
        <f>IFERROR(__xludf.DUMMYFUNCTION("""COMPUTED_VALUE"""),26.8)</f>
        <v>26.8</v>
      </c>
      <c r="E2620" s="1">
        <f>IFERROR(__xludf.DUMMYFUNCTION("""COMPUTED_VALUE"""),26.85)</f>
        <v>26.85</v>
      </c>
      <c r="F2620" s="1">
        <f>IFERROR(__xludf.DUMMYFUNCTION("""COMPUTED_VALUE"""),407887.0)</f>
        <v>407887</v>
      </c>
    </row>
    <row r="2621">
      <c r="A2621" s="2">
        <f>IFERROR(__xludf.DUMMYFUNCTION("""COMPUTED_VALUE"""),43984.66666666667)</f>
        <v>43984.66667</v>
      </c>
      <c r="B2621" s="1">
        <f>IFERROR(__xludf.DUMMYFUNCTION("""COMPUTED_VALUE"""),27.21)</f>
        <v>27.21</v>
      </c>
      <c r="C2621" s="1">
        <f>IFERROR(__xludf.DUMMYFUNCTION("""COMPUTED_VALUE"""),27.35)</f>
        <v>27.35</v>
      </c>
      <c r="D2621" s="1">
        <f>IFERROR(__xludf.DUMMYFUNCTION("""COMPUTED_VALUE"""),26.4)</f>
        <v>26.4</v>
      </c>
      <c r="E2621" s="1">
        <f>IFERROR(__xludf.DUMMYFUNCTION("""COMPUTED_VALUE"""),26.64)</f>
        <v>26.64</v>
      </c>
      <c r="F2621" s="1">
        <f>IFERROR(__xludf.DUMMYFUNCTION("""COMPUTED_VALUE"""),288051.0)</f>
        <v>288051</v>
      </c>
    </row>
    <row r="2622">
      <c r="A2622" s="2">
        <f>IFERROR(__xludf.DUMMYFUNCTION("""COMPUTED_VALUE"""),43985.66666666667)</f>
        <v>43985.66667</v>
      </c>
      <c r="B2622" s="1">
        <f>IFERROR(__xludf.DUMMYFUNCTION("""COMPUTED_VALUE"""),27.42)</f>
        <v>27.42</v>
      </c>
      <c r="C2622" s="1">
        <f>IFERROR(__xludf.DUMMYFUNCTION("""COMPUTED_VALUE"""),28.53)</f>
        <v>28.53</v>
      </c>
      <c r="D2622" s="1">
        <f>IFERROR(__xludf.DUMMYFUNCTION("""COMPUTED_VALUE"""),27.42)</f>
        <v>27.42</v>
      </c>
      <c r="E2622" s="1">
        <f>IFERROR(__xludf.DUMMYFUNCTION("""COMPUTED_VALUE"""),27.9)</f>
        <v>27.9</v>
      </c>
      <c r="F2622" s="1">
        <f>IFERROR(__xludf.DUMMYFUNCTION("""COMPUTED_VALUE"""),381941.0)</f>
        <v>381941</v>
      </c>
    </row>
    <row r="2623">
      <c r="A2623" s="2">
        <f>IFERROR(__xludf.DUMMYFUNCTION("""COMPUTED_VALUE"""),43986.66666666667)</f>
        <v>43986.66667</v>
      </c>
      <c r="B2623" s="1">
        <f>IFERROR(__xludf.DUMMYFUNCTION("""COMPUTED_VALUE"""),27.72)</f>
        <v>27.72</v>
      </c>
      <c r="C2623" s="1">
        <f>IFERROR(__xludf.DUMMYFUNCTION("""COMPUTED_VALUE"""),28.4)</f>
        <v>28.4</v>
      </c>
      <c r="D2623" s="1">
        <f>IFERROR(__xludf.DUMMYFUNCTION("""COMPUTED_VALUE"""),27.27)</f>
        <v>27.27</v>
      </c>
      <c r="E2623" s="1">
        <f>IFERROR(__xludf.DUMMYFUNCTION("""COMPUTED_VALUE"""),28.2)</f>
        <v>28.2</v>
      </c>
      <c r="F2623" s="1">
        <f>IFERROR(__xludf.DUMMYFUNCTION("""COMPUTED_VALUE"""),392198.0)</f>
        <v>392198</v>
      </c>
    </row>
    <row r="2624">
      <c r="A2624" s="2">
        <f>IFERROR(__xludf.DUMMYFUNCTION("""COMPUTED_VALUE"""),43987.66666666667)</f>
        <v>43987.66667</v>
      </c>
      <c r="B2624" s="1">
        <f>IFERROR(__xludf.DUMMYFUNCTION("""COMPUTED_VALUE"""),29.67)</f>
        <v>29.67</v>
      </c>
      <c r="C2624" s="1">
        <f>IFERROR(__xludf.DUMMYFUNCTION("""COMPUTED_VALUE"""),30.79)</f>
        <v>30.79</v>
      </c>
      <c r="D2624" s="1">
        <f>IFERROR(__xludf.DUMMYFUNCTION("""COMPUTED_VALUE"""),29.57)</f>
        <v>29.57</v>
      </c>
      <c r="E2624" s="1">
        <f>IFERROR(__xludf.DUMMYFUNCTION("""COMPUTED_VALUE"""),30.06)</f>
        <v>30.06</v>
      </c>
      <c r="F2624" s="1">
        <f>IFERROR(__xludf.DUMMYFUNCTION("""COMPUTED_VALUE"""),431013.0)</f>
        <v>431013</v>
      </c>
    </row>
    <row r="2625">
      <c r="A2625" s="2">
        <f>IFERROR(__xludf.DUMMYFUNCTION("""COMPUTED_VALUE"""),43990.66666666667)</f>
        <v>43990.66667</v>
      </c>
      <c r="B2625" s="1">
        <f>IFERROR(__xludf.DUMMYFUNCTION("""COMPUTED_VALUE"""),30.51)</f>
        <v>30.51</v>
      </c>
      <c r="C2625" s="1">
        <f>IFERROR(__xludf.DUMMYFUNCTION("""COMPUTED_VALUE"""),31.31)</f>
        <v>31.31</v>
      </c>
      <c r="D2625" s="1">
        <f>IFERROR(__xludf.DUMMYFUNCTION("""COMPUTED_VALUE"""),30.25)</f>
        <v>30.25</v>
      </c>
      <c r="E2625" s="1">
        <f>IFERROR(__xludf.DUMMYFUNCTION("""COMPUTED_VALUE"""),30.98)</f>
        <v>30.98</v>
      </c>
      <c r="F2625" s="1">
        <f>IFERROR(__xludf.DUMMYFUNCTION("""COMPUTED_VALUE"""),335673.0)</f>
        <v>335673</v>
      </c>
    </row>
    <row r="2626">
      <c r="A2626" s="2">
        <f>IFERROR(__xludf.DUMMYFUNCTION("""COMPUTED_VALUE"""),43991.66666666667)</f>
        <v>43991.66667</v>
      </c>
      <c r="B2626" s="1">
        <f>IFERROR(__xludf.DUMMYFUNCTION("""COMPUTED_VALUE"""),30.16)</f>
        <v>30.16</v>
      </c>
      <c r="C2626" s="1">
        <f>IFERROR(__xludf.DUMMYFUNCTION("""COMPUTED_VALUE"""),31.1)</f>
        <v>31.1</v>
      </c>
      <c r="D2626" s="1">
        <f>IFERROR(__xludf.DUMMYFUNCTION("""COMPUTED_VALUE"""),29.77)</f>
        <v>29.77</v>
      </c>
      <c r="E2626" s="1">
        <f>IFERROR(__xludf.DUMMYFUNCTION("""COMPUTED_VALUE"""),30.52)</f>
        <v>30.52</v>
      </c>
      <c r="F2626" s="1">
        <f>IFERROR(__xludf.DUMMYFUNCTION("""COMPUTED_VALUE"""),384760.0)</f>
        <v>384760</v>
      </c>
    </row>
    <row r="2627">
      <c r="A2627" s="2">
        <f>IFERROR(__xludf.DUMMYFUNCTION("""COMPUTED_VALUE"""),43992.66666666667)</f>
        <v>43992.66667</v>
      </c>
      <c r="B2627" s="1">
        <f>IFERROR(__xludf.DUMMYFUNCTION("""COMPUTED_VALUE"""),30.24)</f>
        <v>30.24</v>
      </c>
      <c r="C2627" s="1">
        <f>IFERROR(__xludf.DUMMYFUNCTION("""COMPUTED_VALUE"""),30.65)</f>
        <v>30.65</v>
      </c>
      <c r="D2627" s="1">
        <f>IFERROR(__xludf.DUMMYFUNCTION("""COMPUTED_VALUE"""),28.48)</f>
        <v>28.48</v>
      </c>
      <c r="E2627" s="1">
        <f>IFERROR(__xludf.DUMMYFUNCTION("""COMPUTED_VALUE"""),28.51)</f>
        <v>28.51</v>
      </c>
      <c r="F2627" s="1">
        <f>IFERROR(__xludf.DUMMYFUNCTION("""COMPUTED_VALUE"""),467237.0)</f>
        <v>467237</v>
      </c>
    </row>
    <row r="2628">
      <c r="A2628" s="2">
        <f>IFERROR(__xludf.DUMMYFUNCTION("""COMPUTED_VALUE"""),43993.66666666667)</f>
        <v>43993.66667</v>
      </c>
      <c r="B2628" s="1">
        <f>IFERROR(__xludf.DUMMYFUNCTION("""COMPUTED_VALUE"""),26.99)</f>
        <v>26.99</v>
      </c>
      <c r="C2628" s="1">
        <f>IFERROR(__xludf.DUMMYFUNCTION("""COMPUTED_VALUE"""),27.28)</f>
        <v>27.28</v>
      </c>
      <c r="D2628" s="1">
        <f>IFERROR(__xludf.DUMMYFUNCTION("""COMPUTED_VALUE"""),25.53)</f>
        <v>25.53</v>
      </c>
      <c r="E2628" s="1">
        <f>IFERROR(__xludf.DUMMYFUNCTION("""COMPUTED_VALUE"""),25.63)</f>
        <v>25.63</v>
      </c>
      <c r="F2628" s="1">
        <f>IFERROR(__xludf.DUMMYFUNCTION("""COMPUTED_VALUE"""),476601.0)</f>
        <v>476601</v>
      </c>
    </row>
    <row r="2629">
      <c r="A2629" s="2">
        <f>IFERROR(__xludf.DUMMYFUNCTION("""COMPUTED_VALUE"""),43994.66666666667)</f>
        <v>43994.66667</v>
      </c>
      <c r="B2629" s="1">
        <f>IFERROR(__xludf.DUMMYFUNCTION("""COMPUTED_VALUE"""),27.05)</f>
        <v>27.05</v>
      </c>
      <c r="C2629" s="1">
        <f>IFERROR(__xludf.DUMMYFUNCTION("""COMPUTED_VALUE"""),27.05)</f>
        <v>27.05</v>
      </c>
      <c r="D2629" s="1">
        <f>IFERROR(__xludf.DUMMYFUNCTION("""COMPUTED_VALUE"""),25.22)</f>
        <v>25.22</v>
      </c>
      <c r="E2629" s="1">
        <f>IFERROR(__xludf.DUMMYFUNCTION("""COMPUTED_VALUE"""),26.21)</f>
        <v>26.21</v>
      </c>
      <c r="F2629" s="1">
        <f>IFERROR(__xludf.DUMMYFUNCTION("""COMPUTED_VALUE"""),468597.0)</f>
        <v>468597</v>
      </c>
    </row>
    <row r="2630">
      <c r="A2630" s="2">
        <f>IFERROR(__xludf.DUMMYFUNCTION("""COMPUTED_VALUE"""),43998.66666666667)</f>
        <v>43998.66667</v>
      </c>
      <c r="B2630" s="1">
        <f>IFERROR(__xludf.DUMMYFUNCTION("""COMPUTED_VALUE"""),27.93)</f>
        <v>27.93</v>
      </c>
      <c r="C2630" s="1">
        <f>IFERROR(__xludf.DUMMYFUNCTION("""COMPUTED_VALUE"""),28.52)</f>
        <v>28.52</v>
      </c>
      <c r="D2630" s="1">
        <f>IFERROR(__xludf.DUMMYFUNCTION("""COMPUTED_VALUE"""),26.99)</f>
        <v>26.99</v>
      </c>
      <c r="E2630" s="1">
        <f>IFERROR(__xludf.DUMMYFUNCTION("""COMPUTED_VALUE"""),27.99)</f>
        <v>27.99</v>
      </c>
      <c r="F2630" s="1">
        <f>IFERROR(__xludf.DUMMYFUNCTION("""COMPUTED_VALUE"""),412559.0)</f>
        <v>412559</v>
      </c>
    </row>
    <row r="2631">
      <c r="A2631" s="2">
        <f>IFERROR(__xludf.DUMMYFUNCTION("""COMPUTED_VALUE"""),43999.66666666667)</f>
        <v>43999.66667</v>
      </c>
      <c r="B2631" s="1">
        <f>IFERROR(__xludf.DUMMYFUNCTION("""COMPUTED_VALUE"""),28.12)</f>
        <v>28.12</v>
      </c>
      <c r="C2631" s="1">
        <f>IFERROR(__xludf.DUMMYFUNCTION("""COMPUTED_VALUE"""),28.5)</f>
        <v>28.5</v>
      </c>
      <c r="D2631" s="1">
        <f>IFERROR(__xludf.DUMMYFUNCTION("""COMPUTED_VALUE"""),26.81)</f>
        <v>26.81</v>
      </c>
      <c r="E2631" s="1">
        <f>IFERROR(__xludf.DUMMYFUNCTION("""COMPUTED_VALUE"""),26.85)</f>
        <v>26.85</v>
      </c>
      <c r="F2631" s="1">
        <f>IFERROR(__xludf.DUMMYFUNCTION("""COMPUTED_VALUE"""),337438.0)</f>
        <v>337438</v>
      </c>
    </row>
    <row r="2632">
      <c r="A2632" s="2">
        <f>IFERROR(__xludf.DUMMYFUNCTION("""COMPUTED_VALUE"""),44000.66666666667)</f>
        <v>44000.66667</v>
      </c>
      <c r="B2632" s="1">
        <f>IFERROR(__xludf.DUMMYFUNCTION("""COMPUTED_VALUE"""),26.47)</f>
        <v>26.47</v>
      </c>
      <c r="C2632" s="1">
        <f>IFERROR(__xludf.DUMMYFUNCTION("""COMPUTED_VALUE"""),27.43)</f>
        <v>27.43</v>
      </c>
      <c r="D2632" s="1">
        <f>IFERROR(__xludf.DUMMYFUNCTION("""COMPUTED_VALUE"""),26.42)</f>
        <v>26.42</v>
      </c>
      <c r="E2632" s="1">
        <f>IFERROR(__xludf.DUMMYFUNCTION("""COMPUTED_VALUE"""),27.11)</f>
        <v>27.11</v>
      </c>
      <c r="F2632" s="1">
        <f>IFERROR(__xludf.DUMMYFUNCTION("""COMPUTED_VALUE"""),359081.0)</f>
        <v>359081</v>
      </c>
    </row>
    <row r="2633">
      <c r="A2633" s="2">
        <f>IFERROR(__xludf.DUMMYFUNCTION("""COMPUTED_VALUE"""),44001.66666666667)</f>
        <v>44001.66667</v>
      </c>
      <c r="B2633" s="1">
        <f>IFERROR(__xludf.DUMMYFUNCTION("""COMPUTED_VALUE"""),27.64)</f>
        <v>27.64</v>
      </c>
      <c r="C2633" s="1">
        <f>IFERROR(__xludf.DUMMYFUNCTION("""COMPUTED_VALUE"""),27.88)</f>
        <v>27.88</v>
      </c>
      <c r="D2633" s="1">
        <f>IFERROR(__xludf.DUMMYFUNCTION("""COMPUTED_VALUE"""),26.36)</f>
        <v>26.36</v>
      </c>
      <c r="E2633" s="1">
        <f>IFERROR(__xludf.DUMMYFUNCTION("""COMPUTED_VALUE"""),26.96)</f>
        <v>26.96</v>
      </c>
      <c r="F2633" s="1">
        <f>IFERROR(__xludf.DUMMYFUNCTION("""COMPUTED_VALUE"""),2300249.0)</f>
        <v>2300249</v>
      </c>
    </row>
    <row r="2634">
      <c r="A2634" s="2">
        <f>IFERROR(__xludf.DUMMYFUNCTION("""COMPUTED_VALUE"""),44004.66666666667)</f>
        <v>44004.66667</v>
      </c>
      <c r="B2634" s="1">
        <f>IFERROR(__xludf.DUMMYFUNCTION("""COMPUTED_VALUE"""),26.51)</f>
        <v>26.51</v>
      </c>
      <c r="C2634" s="1">
        <f>IFERROR(__xludf.DUMMYFUNCTION("""COMPUTED_VALUE"""),27.1)</f>
        <v>27.1</v>
      </c>
      <c r="D2634" s="1">
        <f>IFERROR(__xludf.DUMMYFUNCTION("""COMPUTED_VALUE"""),26.18)</f>
        <v>26.18</v>
      </c>
      <c r="E2634" s="1">
        <f>IFERROR(__xludf.DUMMYFUNCTION("""COMPUTED_VALUE"""),26.88)</f>
        <v>26.88</v>
      </c>
      <c r="F2634" s="1">
        <f>IFERROR(__xludf.DUMMYFUNCTION("""COMPUTED_VALUE"""),280575.0)</f>
        <v>280575</v>
      </c>
    </row>
    <row r="2635">
      <c r="A2635" s="2">
        <f>IFERROR(__xludf.DUMMYFUNCTION("""COMPUTED_VALUE"""),44005.66666666667)</f>
        <v>44005.66667</v>
      </c>
      <c r="B2635" s="1">
        <f>IFERROR(__xludf.DUMMYFUNCTION("""COMPUTED_VALUE"""),27.36)</f>
        <v>27.36</v>
      </c>
      <c r="C2635" s="1">
        <f>IFERROR(__xludf.DUMMYFUNCTION("""COMPUTED_VALUE"""),27.54)</f>
        <v>27.54</v>
      </c>
      <c r="D2635" s="1">
        <f>IFERROR(__xludf.DUMMYFUNCTION("""COMPUTED_VALUE"""),25.98)</f>
        <v>25.98</v>
      </c>
      <c r="E2635" s="1">
        <f>IFERROR(__xludf.DUMMYFUNCTION("""COMPUTED_VALUE"""),26.1)</f>
        <v>26.1</v>
      </c>
      <c r="F2635" s="1">
        <f>IFERROR(__xludf.DUMMYFUNCTION("""COMPUTED_VALUE"""),491620.0)</f>
        <v>491620</v>
      </c>
    </row>
    <row r="2636">
      <c r="A2636" s="2">
        <f>IFERROR(__xludf.DUMMYFUNCTION("""COMPUTED_VALUE"""),44006.66666666667)</f>
        <v>44006.66667</v>
      </c>
      <c r="B2636" s="1">
        <f>IFERROR(__xludf.DUMMYFUNCTION("""COMPUTED_VALUE"""),25.62)</f>
        <v>25.62</v>
      </c>
      <c r="C2636" s="1">
        <f>IFERROR(__xludf.DUMMYFUNCTION("""COMPUTED_VALUE"""),25.62)</f>
        <v>25.62</v>
      </c>
      <c r="D2636" s="1">
        <f>IFERROR(__xludf.DUMMYFUNCTION("""COMPUTED_VALUE"""),24.45)</f>
        <v>24.45</v>
      </c>
      <c r="E2636" s="1">
        <f>IFERROR(__xludf.DUMMYFUNCTION("""COMPUTED_VALUE"""),24.53)</f>
        <v>24.53</v>
      </c>
      <c r="F2636" s="1">
        <f>IFERROR(__xludf.DUMMYFUNCTION("""COMPUTED_VALUE"""),537743.0)</f>
        <v>537743</v>
      </c>
    </row>
    <row r="2637">
      <c r="A2637" s="2">
        <f>IFERROR(__xludf.DUMMYFUNCTION("""COMPUTED_VALUE"""),44007.66666666667)</f>
        <v>44007.66667</v>
      </c>
      <c r="B2637" s="1">
        <f>IFERROR(__xludf.DUMMYFUNCTION("""COMPUTED_VALUE"""),24.37)</f>
        <v>24.37</v>
      </c>
      <c r="C2637" s="1">
        <f>IFERROR(__xludf.DUMMYFUNCTION("""COMPUTED_VALUE"""),25.66)</f>
        <v>25.66</v>
      </c>
      <c r="D2637" s="1">
        <f>IFERROR(__xludf.DUMMYFUNCTION("""COMPUTED_VALUE"""),24.16)</f>
        <v>24.16</v>
      </c>
      <c r="E2637" s="1">
        <f>IFERROR(__xludf.DUMMYFUNCTION("""COMPUTED_VALUE"""),25.64)</f>
        <v>25.64</v>
      </c>
      <c r="F2637" s="1">
        <f>IFERROR(__xludf.DUMMYFUNCTION("""COMPUTED_VALUE"""),328047.0)</f>
        <v>328047</v>
      </c>
    </row>
    <row r="2638">
      <c r="A2638" s="2">
        <f>IFERROR(__xludf.DUMMYFUNCTION("""COMPUTED_VALUE"""),44008.66666666667)</f>
        <v>44008.66667</v>
      </c>
      <c r="B2638" s="1">
        <f>IFERROR(__xludf.DUMMYFUNCTION("""COMPUTED_VALUE"""),25.06)</f>
        <v>25.06</v>
      </c>
      <c r="C2638" s="1">
        <f>IFERROR(__xludf.DUMMYFUNCTION("""COMPUTED_VALUE"""),25.34)</f>
        <v>25.34</v>
      </c>
      <c r="D2638" s="1">
        <f>IFERROR(__xludf.DUMMYFUNCTION("""COMPUTED_VALUE"""),24.04)</f>
        <v>24.04</v>
      </c>
      <c r="E2638" s="1">
        <f>IFERROR(__xludf.DUMMYFUNCTION("""COMPUTED_VALUE"""),24.47)</f>
        <v>24.47</v>
      </c>
      <c r="F2638" s="1">
        <f>IFERROR(__xludf.DUMMYFUNCTION("""COMPUTED_VALUE"""),742922.0)</f>
        <v>742922</v>
      </c>
    </row>
    <row r="2639">
      <c r="A2639" s="2">
        <f>IFERROR(__xludf.DUMMYFUNCTION("""COMPUTED_VALUE"""),44011.66666666667)</f>
        <v>44011.66667</v>
      </c>
      <c r="B2639" s="1">
        <f>IFERROR(__xludf.DUMMYFUNCTION("""COMPUTED_VALUE"""),24.95)</f>
        <v>24.95</v>
      </c>
      <c r="C2639" s="1">
        <f>IFERROR(__xludf.DUMMYFUNCTION("""COMPUTED_VALUE"""),26.1)</f>
        <v>26.1</v>
      </c>
      <c r="D2639" s="1">
        <f>IFERROR(__xludf.DUMMYFUNCTION("""COMPUTED_VALUE"""),24.78)</f>
        <v>24.78</v>
      </c>
      <c r="E2639" s="1">
        <f>IFERROR(__xludf.DUMMYFUNCTION("""COMPUTED_VALUE"""),25.95)</f>
        <v>25.95</v>
      </c>
      <c r="F2639" s="1">
        <f>IFERROR(__xludf.DUMMYFUNCTION("""COMPUTED_VALUE"""),412288.0)</f>
        <v>412288</v>
      </c>
    </row>
    <row r="2640">
      <c r="A2640" s="2">
        <f>IFERROR(__xludf.DUMMYFUNCTION("""COMPUTED_VALUE"""),44012.66666666667)</f>
        <v>44012.66667</v>
      </c>
      <c r="B2640" s="1">
        <f>IFERROR(__xludf.DUMMYFUNCTION("""COMPUTED_VALUE"""),25.79)</f>
        <v>25.79</v>
      </c>
      <c r="C2640" s="1">
        <f>IFERROR(__xludf.DUMMYFUNCTION("""COMPUTED_VALUE"""),26.53)</f>
        <v>26.53</v>
      </c>
      <c r="D2640" s="1">
        <f>IFERROR(__xludf.DUMMYFUNCTION("""COMPUTED_VALUE"""),25.74)</f>
        <v>25.74</v>
      </c>
      <c r="E2640" s="1">
        <f>IFERROR(__xludf.DUMMYFUNCTION("""COMPUTED_VALUE"""),26.3)</f>
        <v>26.3</v>
      </c>
      <c r="F2640" s="1">
        <f>IFERROR(__xludf.DUMMYFUNCTION("""COMPUTED_VALUE"""),645175.0)</f>
        <v>645175</v>
      </c>
    </row>
    <row r="2641">
      <c r="A2641" s="2">
        <f>IFERROR(__xludf.DUMMYFUNCTION("""COMPUTED_VALUE"""),44013.66666666667)</f>
        <v>44013.66667</v>
      </c>
      <c r="B2641" s="1">
        <f>IFERROR(__xludf.DUMMYFUNCTION("""COMPUTED_VALUE"""),26.47)</f>
        <v>26.47</v>
      </c>
      <c r="C2641" s="1">
        <f>IFERROR(__xludf.DUMMYFUNCTION("""COMPUTED_VALUE"""),26.55)</f>
        <v>26.55</v>
      </c>
      <c r="D2641" s="1">
        <f>IFERROR(__xludf.DUMMYFUNCTION("""COMPUTED_VALUE"""),25.18)</f>
        <v>25.18</v>
      </c>
      <c r="E2641" s="1">
        <f>IFERROR(__xludf.DUMMYFUNCTION("""COMPUTED_VALUE"""),25.23)</f>
        <v>25.23</v>
      </c>
      <c r="F2641" s="1">
        <f>IFERROR(__xludf.DUMMYFUNCTION("""COMPUTED_VALUE"""),341638.0)</f>
        <v>341638</v>
      </c>
    </row>
    <row r="2642">
      <c r="A2642" s="2">
        <f>IFERROR(__xludf.DUMMYFUNCTION("""COMPUTED_VALUE"""),44014.66666666667)</f>
        <v>44014.66667</v>
      </c>
      <c r="B2642" s="1">
        <f>IFERROR(__xludf.DUMMYFUNCTION("""COMPUTED_VALUE"""),25.99)</f>
        <v>25.99</v>
      </c>
      <c r="C2642" s="1">
        <f>IFERROR(__xludf.DUMMYFUNCTION("""COMPUTED_VALUE"""),26.28)</f>
        <v>26.28</v>
      </c>
      <c r="D2642" s="1">
        <f>IFERROR(__xludf.DUMMYFUNCTION("""COMPUTED_VALUE"""),24.93)</f>
        <v>24.93</v>
      </c>
      <c r="E2642" s="1">
        <f>IFERROR(__xludf.DUMMYFUNCTION("""COMPUTED_VALUE"""),25.06)</f>
        <v>25.06</v>
      </c>
      <c r="F2642" s="1">
        <f>IFERROR(__xludf.DUMMYFUNCTION("""COMPUTED_VALUE"""),326522.0)</f>
        <v>326522</v>
      </c>
    </row>
    <row r="2643">
      <c r="A2643" s="2">
        <f>IFERROR(__xludf.DUMMYFUNCTION("""COMPUTED_VALUE"""),44018.66666666667)</f>
        <v>44018.66667</v>
      </c>
      <c r="B2643" s="1">
        <f>IFERROR(__xludf.DUMMYFUNCTION("""COMPUTED_VALUE"""),25.86)</f>
        <v>25.86</v>
      </c>
      <c r="C2643" s="1">
        <f>IFERROR(__xludf.DUMMYFUNCTION("""COMPUTED_VALUE"""),26.05)</f>
        <v>26.05</v>
      </c>
      <c r="D2643" s="1">
        <f>IFERROR(__xludf.DUMMYFUNCTION("""COMPUTED_VALUE"""),25.07)</f>
        <v>25.07</v>
      </c>
      <c r="E2643" s="1">
        <f>IFERROR(__xludf.DUMMYFUNCTION("""COMPUTED_VALUE"""),25.28)</f>
        <v>25.28</v>
      </c>
      <c r="F2643" s="1">
        <f>IFERROR(__xludf.DUMMYFUNCTION("""COMPUTED_VALUE"""),255262.0)</f>
        <v>255262</v>
      </c>
    </row>
    <row r="2644">
      <c r="A2644" s="2">
        <f>IFERROR(__xludf.DUMMYFUNCTION("""COMPUTED_VALUE"""),44019.66666666667)</f>
        <v>44019.66667</v>
      </c>
      <c r="B2644" s="1">
        <f>IFERROR(__xludf.DUMMYFUNCTION("""COMPUTED_VALUE"""),24.95)</f>
        <v>24.95</v>
      </c>
      <c r="C2644" s="1">
        <f>IFERROR(__xludf.DUMMYFUNCTION("""COMPUTED_VALUE"""),24.96)</f>
        <v>24.96</v>
      </c>
      <c r="D2644" s="1">
        <f>IFERROR(__xludf.DUMMYFUNCTION("""COMPUTED_VALUE"""),24.34)</f>
        <v>24.34</v>
      </c>
      <c r="E2644" s="1">
        <f>IFERROR(__xludf.DUMMYFUNCTION("""COMPUTED_VALUE"""),24.44)</f>
        <v>24.44</v>
      </c>
      <c r="F2644" s="1">
        <f>IFERROR(__xludf.DUMMYFUNCTION("""COMPUTED_VALUE"""),241923.0)</f>
        <v>241923</v>
      </c>
    </row>
    <row r="2645">
      <c r="A2645" s="2">
        <f>IFERROR(__xludf.DUMMYFUNCTION("""COMPUTED_VALUE"""),44020.66666666667)</f>
        <v>44020.66667</v>
      </c>
      <c r="B2645" s="1">
        <f>IFERROR(__xludf.DUMMYFUNCTION("""COMPUTED_VALUE"""),24.27)</f>
        <v>24.27</v>
      </c>
      <c r="C2645" s="1">
        <f>IFERROR(__xludf.DUMMYFUNCTION("""COMPUTED_VALUE"""),24.71)</f>
        <v>24.71</v>
      </c>
      <c r="D2645" s="1">
        <f>IFERROR(__xludf.DUMMYFUNCTION("""COMPUTED_VALUE"""),23.69)</f>
        <v>23.69</v>
      </c>
      <c r="E2645" s="1">
        <f>IFERROR(__xludf.DUMMYFUNCTION("""COMPUTED_VALUE"""),24.2)</f>
        <v>24.2</v>
      </c>
      <c r="F2645" s="1">
        <f>IFERROR(__xludf.DUMMYFUNCTION("""COMPUTED_VALUE"""),325917.0)</f>
        <v>325917</v>
      </c>
    </row>
    <row r="2646">
      <c r="A2646" s="2">
        <f>IFERROR(__xludf.DUMMYFUNCTION("""COMPUTED_VALUE"""),44021.66666666667)</f>
        <v>44021.66667</v>
      </c>
      <c r="B2646" s="1">
        <f>IFERROR(__xludf.DUMMYFUNCTION("""COMPUTED_VALUE"""),24.04)</f>
        <v>24.04</v>
      </c>
      <c r="C2646" s="1">
        <f>IFERROR(__xludf.DUMMYFUNCTION("""COMPUTED_VALUE"""),24.29)</f>
        <v>24.29</v>
      </c>
      <c r="D2646" s="1">
        <f>IFERROR(__xludf.DUMMYFUNCTION("""COMPUTED_VALUE"""),23.06)</f>
        <v>23.06</v>
      </c>
      <c r="E2646" s="1">
        <f>IFERROR(__xludf.DUMMYFUNCTION("""COMPUTED_VALUE"""),23.11)</f>
        <v>23.11</v>
      </c>
      <c r="F2646" s="1">
        <f>IFERROR(__xludf.DUMMYFUNCTION("""COMPUTED_VALUE"""),313300.0)</f>
        <v>313300</v>
      </c>
    </row>
    <row r="2647">
      <c r="A2647" s="2">
        <f>IFERROR(__xludf.DUMMYFUNCTION("""COMPUTED_VALUE"""),44022.66666666667)</f>
        <v>44022.66667</v>
      </c>
      <c r="B2647" s="1">
        <f>IFERROR(__xludf.DUMMYFUNCTION("""COMPUTED_VALUE"""),23.06)</f>
        <v>23.06</v>
      </c>
      <c r="C2647" s="1">
        <f>IFERROR(__xludf.DUMMYFUNCTION("""COMPUTED_VALUE"""),24.35)</f>
        <v>24.35</v>
      </c>
      <c r="D2647" s="1">
        <f>IFERROR(__xludf.DUMMYFUNCTION("""COMPUTED_VALUE"""),23.06)</f>
        <v>23.06</v>
      </c>
      <c r="E2647" s="1">
        <f>IFERROR(__xludf.DUMMYFUNCTION("""COMPUTED_VALUE"""),24.31)</f>
        <v>24.31</v>
      </c>
      <c r="F2647" s="1">
        <f>IFERROR(__xludf.DUMMYFUNCTION("""COMPUTED_VALUE"""),302625.0)</f>
        <v>302625</v>
      </c>
    </row>
    <row r="2648">
      <c r="A2648" s="2">
        <f>IFERROR(__xludf.DUMMYFUNCTION("""COMPUTED_VALUE"""),44025.66666666667)</f>
        <v>44025.66667</v>
      </c>
      <c r="B2648" s="1">
        <f>IFERROR(__xludf.DUMMYFUNCTION("""COMPUTED_VALUE"""),24.75)</f>
        <v>24.75</v>
      </c>
      <c r="C2648" s="1">
        <f>IFERROR(__xludf.DUMMYFUNCTION("""COMPUTED_VALUE"""),25.3)</f>
        <v>25.3</v>
      </c>
      <c r="D2648" s="1">
        <f>IFERROR(__xludf.DUMMYFUNCTION("""COMPUTED_VALUE"""),24.03)</f>
        <v>24.03</v>
      </c>
      <c r="E2648" s="1">
        <f>IFERROR(__xludf.DUMMYFUNCTION("""COMPUTED_VALUE"""),24.67)</f>
        <v>24.67</v>
      </c>
      <c r="F2648" s="1">
        <f>IFERROR(__xludf.DUMMYFUNCTION("""COMPUTED_VALUE"""),313975.0)</f>
        <v>313975</v>
      </c>
    </row>
    <row r="2649">
      <c r="A2649" s="2">
        <f>IFERROR(__xludf.DUMMYFUNCTION("""COMPUTED_VALUE"""),44026.66666666667)</f>
        <v>44026.66667</v>
      </c>
      <c r="B2649" s="1">
        <f>IFERROR(__xludf.DUMMYFUNCTION("""COMPUTED_VALUE"""),24.59)</f>
        <v>24.59</v>
      </c>
      <c r="C2649" s="1">
        <f>IFERROR(__xludf.DUMMYFUNCTION("""COMPUTED_VALUE"""),24.91)</f>
        <v>24.91</v>
      </c>
      <c r="D2649" s="1">
        <f>IFERROR(__xludf.DUMMYFUNCTION("""COMPUTED_VALUE"""),23.94)</f>
        <v>23.94</v>
      </c>
      <c r="E2649" s="1">
        <f>IFERROR(__xludf.DUMMYFUNCTION("""COMPUTED_VALUE"""),24.26)</f>
        <v>24.26</v>
      </c>
      <c r="F2649" s="1">
        <f>IFERROR(__xludf.DUMMYFUNCTION("""COMPUTED_VALUE"""),303269.0)</f>
        <v>303269</v>
      </c>
    </row>
    <row r="2650">
      <c r="A2650" s="2">
        <f>IFERROR(__xludf.DUMMYFUNCTION("""COMPUTED_VALUE"""),44027.66666666667)</f>
        <v>44027.66667</v>
      </c>
      <c r="B2650" s="1">
        <f>IFERROR(__xludf.DUMMYFUNCTION("""COMPUTED_VALUE"""),25.14)</f>
        <v>25.14</v>
      </c>
      <c r="C2650" s="1">
        <f>IFERROR(__xludf.DUMMYFUNCTION("""COMPUTED_VALUE"""),25.53)</f>
        <v>25.53</v>
      </c>
      <c r="D2650" s="1">
        <f>IFERROR(__xludf.DUMMYFUNCTION("""COMPUTED_VALUE"""),24.86)</f>
        <v>24.86</v>
      </c>
      <c r="E2650" s="1">
        <f>IFERROR(__xludf.DUMMYFUNCTION("""COMPUTED_VALUE"""),25.37)</f>
        <v>25.37</v>
      </c>
      <c r="F2650" s="1">
        <f>IFERROR(__xludf.DUMMYFUNCTION("""COMPUTED_VALUE"""),530284.0)</f>
        <v>530284</v>
      </c>
    </row>
    <row r="2651">
      <c r="A2651" s="2">
        <f>IFERROR(__xludf.DUMMYFUNCTION("""COMPUTED_VALUE"""),44028.66666666667)</f>
        <v>44028.66667</v>
      </c>
      <c r="B2651" s="1">
        <f>IFERROR(__xludf.DUMMYFUNCTION("""COMPUTED_VALUE"""),25.06)</f>
        <v>25.06</v>
      </c>
      <c r="C2651" s="1">
        <f>IFERROR(__xludf.DUMMYFUNCTION("""COMPUTED_VALUE"""),25.85)</f>
        <v>25.85</v>
      </c>
      <c r="D2651" s="1">
        <f>IFERROR(__xludf.DUMMYFUNCTION("""COMPUTED_VALUE"""),24.87)</f>
        <v>24.87</v>
      </c>
      <c r="E2651" s="1">
        <f>IFERROR(__xludf.DUMMYFUNCTION("""COMPUTED_VALUE"""),25.39)</f>
        <v>25.39</v>
      </c>
      <c r="F2651" s="1">
        <f>IFERROR(__xludf.DUMMYFUNCTION("""COMPUTED_VALUE"""),288020.0)</f>
        <v>288020</v>
      </c>
    </row>
    <row r="2652">
      <c r="A2652" s="2">
        <f>IFERROR(__xludf.DUMMYFUNCTION("""COMPUTED_VALUE"""),44029.66666666667)</f>
        <v>44029.66667</v>
      </c>
      <c r="B2652" s="1">
        <f>IFERROR(__xludf.DUMMYFUNCTION("""COMPUTED_VALUE"""),24.94)</f>
        <v>24.94</v>
      </c>
      <c r="C2652" s="1">
        <f>IFERROR(__xludf.DUMMYFUNCTION("""COMPUTED_VALUE"""),25.56)</f>
        <v>25.56</v>
      </c>
      <c r="D2652" s="1">
        <f>IFERROR(__xludf.DUMMYFUNCTION("""COMPUTED_VALUE"""),24.51)</f>
        <v>24.51</v>
      </c>
      <c r="E2652" s="1">
        <f>IFERROR(__xludf.DUMMYFUNCTION("""COMPUTED_VALUE"""),24.58)</f>
        <v>24.58</v>
      </c>
      <c r="F2652" s="1">
        <f>IFERROR(__xludf.DUMMYFUNCTION("""COMPUTED_VALUE"""),352014.0)</f>
        <v>352014</v>
      </c>
    </row>
    <row r="2653">
      <c r="A2653" s="2">
        <f>IFERROR(__xludf.DUMMYFUNCTION("""COMPUTED_VALUE"""),44032.66666666667)</f>
        <v>44032.66667</v>
      </c>
      <c r="B2653" s="1">
        <f>IFERROR(__xludf.DUMMYFUNCTION("""COMPUTED_VALUE"""),24.33)</f>
        <v>24.33</v>
      </c>
      <c r="C2653" s="1">
        <f>IFERROR(__xludf.DUMMYFUNCTION("""COMPUTED_VALUE"""),24.67)</f>
        <v>24.67</v>
      </c>
      <c r="D2653" s="1">
        <f>IFERROR(__xludf.DUMMYFUNCTION("""COMPUTED_VALUE"""),23.93)</f>
        <v>23.93</v>
      </c>
      <c r="E2653" s="1">
        <f>IFERROR(__xludf.DUMMYFUNCTION("""COMPUTED_VALUE"""),24.01)</f>
        <v>24.01</v>
      </c>
      <c r="F2653" s="1">
        <f>IFERROR(__xludf.DUMMYFUNCTION("""COMPUTED_VALUE"""),245230.0)</f>
        <v>245230</v>
      </c>
    </row>
    <row r="2654">
      <c r="A2654" s="2">
        <f>IFERROR(__xludf.DUMMYFUNCTION("""COMPUTED_VALUE"""),44033.66666666667)</f>
        <v>44033.66667</v>
      </c>
      <c r="B2654" s="1">
        <f>IFERROR(__xludf.DUMMYFUNCTION("""COMPUTED_VALUE"""),24.4)</f>
        <v>24.4</v>
      </c>
      <c r="C2654" s="1">
        <f>IFERROR(__xludf.DUMMYFUNCTION("""COMPUTED_VALUE"""),25.33)</f>
        <v>25.33</v>
      </c>
      <c r="D2654" s="1">
        <f>IFERROR(__xludf.DUMMYFUNCTION("""COMPUTED_VALUE"""),24.4)</f>
        <v>24.4</v>
      </c>
      <c r="E2654" s="1">
        <f>IFERROR(__xludf.DUMMYFUNCTION("""COMPUTED_VALUE"""),25.33)</f>
        <v>25.33</v>
      </c>
      <c r="F2654" s="1">
        <f>IFERROR(__xludf.DUMMYFUNCTION("""COMPUTED_VALUE"""),275520.0)</f>
        <v>275520</v>
      </c>
    </row>
    <row r="2655">
      <c r="A2655" s="2">
        <f>IFERROR(__xludf.DUMMYFUNCTION("""COMPUTED_VALUE"""),44034.66666666667)</f>
        <v>44034.66667</v>
      </c>
      <c r="B2655" s="1">
        <f>IFERROR(__xludf.DUMMYFUNCTION("""COMPUTED_VALUE"""),25.01)</f>
        <v>25.01</v>
      </c>
      <c r="C2655" s="1">
        <f>IFERROR(__xludf.DUMMYFUNCTION("""COMPUTED_VALUE"""),25.4)</f>
        <v>25.4</v>
      </c>
      <c r="D2655" s="1">
        <f>IFERROR(__xludf.DUMMYFUNCTION("""COMPUTED_VALUE"""),24.77)</f>
        <v>24.77</v>
      </c>
      <c r="E2655" s="1">
        <f>IFERROR(__xludf.DUMMYFUNCTION("""COMPUTED_VALUE"""),25.15)</f>
        <v>25.15</v>
      </c>
      <c r="F2655" s="1">
        <f>IFERROR(__xludf.DUMMYFUNCTION("""COMPUTED_VALUE"""),384496.0)</f>
        <v>384496</v>
      </c>
    </row>
    <row r="2656">
      <c r="A2656" s="2">
        <f>IFERROR(__xludf.DUMMYFUNCTION("""COMPUTED_VALUE"""),44035.66666666667)</f>
        <v>44035.66667</v>
      </c>
      <c r="B2656" s="1">
        <f>IFERROR(__xludf.DUMMYFUNCTION("""COMPUTED_VALUE"""),25.18)</f>
        <v>25.18</v>
      </c>
      <c r="C2656" s="1">
        <f>IFERROR(__xludf.DUMMYFUNCTION("""COMPUTED_VALUE"""),25.84)</f>
        <v>25.84</v>
      </c>
      <c r="D2656" s="1">
        <f>IFERROR(__xludf.DUMMYFUNCTION("""COMPUTED_VALUE"""),25.16)</f>
        <v>25.16</v>
      </c>
      <c r="E2656" s="1">
        <f>IFERROR(__xludf.DUMMYFUNCTION("""COMPUTED_VALUE"""),25.68)</f>
        <v>25.68</v>
      </c>
      <c r="F2656" s="1">
        <f>IFERROR(__xludf.DUMMYFUNCTION("""COMPUTED_VALUE"""),382018.0)</f>
        <v>382018</v>
      </c>
    </row>
    <row r="2657">
      <c r="A2657" s="2">
        <f>IFERROR(__xludf.DUMMYFUNCTION("""COMPUTED_VALUE"""),44036.66666666667)</f>
        <v>44036.66667</v>
      </c>
      <c r="B2657" s="1">
        <f>IFERROR(__xludf.DUMMYFUNCTION("""COMPUTED_VALUE"""),25.79)</f>
        <v>25.79</v>
      </c>
      <c r="C2657" s="1">
        <f>IFERROR(__xludf.DUMMYFUNCTION("""COMPUTED_VALUE"""),25.99)</f>
        <v>25.99</v>
      </c>
      <c r="D2657" s="1">
        <f>IFERROR(__xludf.DUMMYFUNCTION("""COMPUTED_VALUE"""),25.42)</f>
        <v>25.42</v>
      </c>
      <c r="E2657" s="1">
        <f>IFERROR(__xludf.DUMMYFUNCTION("""COMPUTED_VALUE"""),25.42)</f>
        <v>25.42</v>
      </c>
      <c r="F2657" s="1">
        <f>IFERROR(__xludf.DUMMYFUNCTION("""COMPUTED_VALUE"""),206103.0)</f>
        <v>206103</v>
      </c>
    </row>
    <row r="2658">
      <c r="A2658" s="2">
        <f>IFERROR(__xludf.DUMMYFUNCTION("""COMPUTED_VALUE"""),44039.66666666667)</f>
        <v>44039.66667</v>
      </c>
      <c r="B2658" s="1">
        <f>IFERROR(__xludf.DUMMYFUNCTION("""COMPUTED_VALUE"""),25.13)</f>
        <v>25.13</v>
      </c>
      <c r="C2658" s="1">
        <f>IFERROR(__xludf.DUMMYFUNCTION("""COMPUTED_VALUE"""),25.39)</f>
        <v>25.39</v>
      </c>
      <c r="D2658" s="1">
        <f>IFERROR(__xludf.DUMMYFUNCTION("""COMPUTED_VALUE"""),24.72)</f>
        <v>24.72</v>
      </c>
      <c r="E2658" s="1">
        <f>IFERROR(__xludf.DUMMYFUNCTION("""COMPUTED_VALUE"""),24.89)</f>
        <v>24.89</v>
      </c>
      <c r="F2658" s="1">
        <f>IFERROR(__xludf.DUMMYFUNCTION("""COMPUTED_VALUE"""),387604.0)</f>
        <v>387604</v>
      </c>
    </row>
    <row r="2659">
      <c r="A2659" s="2">
        <f>IFERROR(__xludf.DUMMYFUNCTION("""COMPUTED_VALUE"""),44040.66666666667)</f>
        <v>44040.66667</v>
      </c>
      <c r="B2659" s="1">
        <f>IFERROR(__xludf.DUMMYFUNCTION("""COMPUTED_VALUE"""),26.07)</f>
        <v>26.07</v>
      </c>
      <c r="C2659" s="1">
        <f>IFERROR(__xludf.DUMMYFUNCTION("""COMPUTED_VALUE"""),26.37)</f>
        <v>26.37</v>
      </c>
      <c r="D2659" s="1">
        <f>IFERROR(__xludf.DUMMYFUNCTION("""COMPUTED_VALUE"""),24.53)</f>
        <v>24.53</v>
      </c>
      <c r="E2659" s="1">
        <f>IFERROR(__xludf.DUMMYFUNCTION("""COMPUTED_VALUE"""),24.57)</f>
        <v>24.57</v>
      </c>
      <c r="F2659" s="1">
        <f>IFERROR(__xludf.DUMMYFUNCTION("""COMPUTED_VALUE"""),363210.0)</f>
        <v>363210</v>
      </c>
    </row>
    <row r="2660">
      <c r="A2660" s="2">
        <f>IFERROR(__xludf.DUMMYFUNCTION("""COMPUTED_VALUE"""),44041.66666666667)</f>
        <v>44041.66667</v>
      </c>
      <c r="B2660" s="1">
        <f>IFERROR(__xludf.DUMMYFUNCTION("""COMPUTED_VALUE"""),24.41)</f>
        <v>24.41</v>
      </c>
      <c r="C2660" s="1">
        <f>IFERROR(__xludf.DUMMYFUNCTION("""COMPUTED_VALUE"""),25.21)</f>
        <v>25.21</v>
      </c>
      <c r="D2660" s="1">
        <f>IFERROR(__xludf.DUMMYFUNCTION("""COMPUTED_VALUE"""),24.32)</f>
        <v>24.32</v>
      </c>
      <c r="E2660" s="1">
        <f>IFERROR(__xludf.DUMMYFUNCTION("""COMPUTED_VALUE"""),25.2)</f>
        <v>25.2</v>
      </c>
      <c r="F2660" s="1">
        <f>IFERROR(__xludf.DUMMYFUNCTION("""COMPUTED_VALUE"""),263192.0)</f>
        <v>263192</v>
      </c>
    </row>
    <row r="2661">
      <c r="A2661" s="2">
        <f>IFERROR(__xludf.DUMMYFUNCTION("""COMPUTED_VALUE"""),44042.66666666667)</f>
        <v>44042.66667</v>
      </c>
      <c r="B2661" s="1">
        <f>IFERROR(__xludf.DUMMYFUNCTION("""COMPUTED_VALUE"""),24.57)</f>
        <v>24.57</v>
      </c>
      <c r="C2661" s="1">
        <f>IFERROR(__xludf.DUMMYFUNCTION("""COMPUTED_VALUE"""),24.76)</f>
        <v>24.76</v>
      </c>
      <c r="D2661" s="1">
        <f>IFERROR(__xludf.DUMMYFUNCTION("""COMPUTED_VALUE"""),24.18)</f>
        <v>24.18</v>
      </c>
      <c r="E2661" s="1">
        <f>IFERROR(__xludf.DUMMYFUNCTION("""COMPUTED_VALUE"""),24.59)</f>
        <v>24.59</v>
      </c>
      <c r="F2661" s="1">
        <f>IFERROR(__xludf.DUMMYFUNCTION("""COMPUTED_VALUE"""),180304.0)</f>
        <v>180304</v>
      </c>
    </row>
    <row r="2662">
      <c r="A2662" s="2">
        <f>IFERROR(__xludf.DUMMYFUNCTION("""COMPUTED_VALUE"""),44043.66666666667)</f>
        <v>44043.66667</v>
      </c>
      <c r="B2662" s="1">
        <f>IFERROR(__xludf.DUMMYFUNCTION("""COMPUTED_VALUE"""),24.4)</f>
        <v>24.4</v>
      </c>
      <c r="C2662" s="1">
        <f>IFERROR(__xludf.DUMMYFUNCTION("""COMPUTED_VALUE"""),24.55)</f>
        <v>24.55</v>
      </c>
      <c r="D2662" s="1">
        <f>IFERROR(__xludf.DUMMYFUNCTION("""COMPUTED_VALUE"""),23.79)</f>
        <v>23.79</v>
      </c>
      <c r="E2662" s="1">
        <f>IFERROR(__xludf.DUMMYFUNCTION("""COMPUTED_VALUE"""),24.18)</f>
        <v>24.18</v>
      </c>
      <c r="F2662" s="1">
        <f>IFERROR(__xludf.DUMMYFUNCTION("""COMPUTED_VALUE"""),372265.0)</f>
        <v>372265</v>
      </c>
    </row>
    <row r="2663">
      <c r="A2663" s="2">
        <f>IFERROR(__xludf.DUMMYFUNCTION("""COMPUTED_VALUE"""),44046.66666666667)</f>
        <v>44046.66667</v>
      </c>
      <c r="B2663" s="1">
        <f>IFERROR(__xludf.DUMMYFUNCTION("""COMPUTED_VALUE"""),24.37)</f>
        <v>24.37</v>
      </c>
      <c r="C2663" s="1">
        <f>IFERROR(__xludf.DUMMYFUNCTION("""COMPUTED_VALUE"""),24.67)</f>
        <v>24.67</v>
      </c>
      <c r="D2663" s="1">
        <f>IFERROR(__xludf.DUMMYFUNCTION("""COMPUTED_VALUE"""),23.91)</f>
        <v>23.91</v>
      </c>
      <c r="E2663" s="1">
        <f>IFERROR(__xludf.DUMMYFUNCTION("""COMPUTED_VALUE"""),24.36)</f>
        <v>24.36</v>
      </c>
      <c r="F2663" s="1">
        <f>IFERROR(__xludf.DUMMYFUNCTION("""COMPUTED_VALUE"""),278727.0)</f>
        <v>278727</v>
      </c>
    </row>
    <row r="2664">
      <c r="A2664" s="2">
        <f>IFERROR(__xludf.DUMMYFUNCTION("""COMPUTED_VALUE"""),44047.66666666667)</f>
        <v>44047.66667</v>
      </c>
      <c r="B2664" s="1">
        <f>IFERROR(__xludf.DUMMYFUNCTION("""COMPUTED_VALUE"""),24.25)</f>
        <v>24.25</v>
      </c>
      <c r="C2664" s="1">
        <f>IFERROR(__xludf.DUMMYFUNCTION("""COMPUTED_VALUE"""),24.33)</f>
        <v>24.33</v>
      </c>
      <c r="D2664" s="1">
        <f>IFERROR(__xludf.DUMMYFUNCTION("""COMPUTED_VALUE"""),23.91)</f>
        <v>23.91</v>
      </c>
      <c r="E2664" s="1">
        <f>IFERROR(__xludf.DUMMYFUNCTION("""COMPUTED_VALUE"""),24.28)</f>
        <v>24.28</v>
      </c>
      <c r="F2664" s="1">
        <f>IFERROR(__xludf.DUMMYFUNCTION("""COMPUTED_VALUE"""),188366.0)</f>
        <v>188366</v>
      </c>
    </row>
    <row r="2665">
      <c r="A2665" s="2">
        <f>IFERROR(__xludf.DUMMYFUNCTION("""COMPUTED_VALUE"""),44048.66666666667)</f>
        <v>44048.66667</v>
      </c>
      <c r="B2665" s="1">
        <f>IFERROR(__xludf.DUMMYFUNCTION("""COMPUTED_VALUE"""),24.57)</f>
        <v>24.57</v>
      </c>
      <c r="C2665" s="1">
        <f>IFERROR(__xludf.DUMMYFUNCTION("""COMPUTED_VALUE"""),24.9)</f>
        <v>24.9</v>
      </c>
      <c r="D2665" s="1">
        <f>IFERROR(__xludf.DUMMYFUNCTION("""COMPUTED_VALUE"""),24.42)</f>
        <v>24.42</v>
      </c>
      <c r="E2665" s="1">
        <f>IFERROR(__xludf.DUMMYFUNCTION("""COMPUTED_VALUE"""),24.87)</f>
        <v>24.87</v>
      </c>
      <c r="F2665" s="1">
        <f>IFERROR(__xludf.DUMMYFUNCTION("""COMPUTED_VALUE"""),235811.0)</f>
        <v>235811</v>
      </c>
    </row>
    <row r="2666">
      <c r="A2666" s="2">
        <f>IFERROR(__xludf.DUMMYFUNCTION("""COMPUTED_VALUE"""),44049.66666666667)</f>
        <v>44049.66667</v>
      </c>
      <c r="B2666" s="1">
        <f>IFERROR(__xludf.DUMMYFUNCTION("""COMPUTED_VALUE"""),24.65)</f>
        <v>24.65</v>
      </c>
      <c r="C2666" s="1">
        <f>IFERROR(__xludf.DUMMYFUNCTION("""COMPUTED_VALUE"""),25.14)</f>
        <v>25.14</v>
      </c>
      <c r="D2666" s="1">
        <f>IFERROR(__xludf.DUMMYFUNCTION("""COMPUTED_VALUE"""),24.5)</f>
        <v>24.5</v>
      </c>
      <c r="E2666" s="1">
        <f>IFERROR(__xludf.DUMMYFUNCTION("""COMPUTED_VALUE"""),24.85)</f>
        <v>24.85</v>
      </c>
      <c r="F2666" s="1">
        <f>IFERROR(__xludf.DUMMYFUNCTION("""COMPUTED_VALUE"""),261903.0)</f>
        <v>261903</v>
      </c>
    </row>
    <row r="2667">
      <c r="A2667" s="2">
        <f>IFERROR(__xludf.DUMMYFUNCTION("""COMPUTED_VALUE"""),44050.66666666667)</f>
        <v>44050.66667</v>
      </c>
      <c r="B2667" s="1">
        <f>IFERROR(__xludf.DUMMYFUNCTION("""COMPUTED_VALUE"""),24.9)</f>
        <v>24.9</v>
      </c>
      <c r="C2667" s="1">
        <f>IFERROR(__xludf.DUMMYFUNCTION("""COMPUTED_VALUE"""),26.44)</f>
        <v>26.44</v>
      </c>
      <c r="D2667" s="1">
        <f>IFERROR(__xludf.DUMMYFUNCTION("""COMPUTED_VALUE"""),24.8)</f>
        <v>24.8</v>
      </c>
      <c r="E2667" s="1">
        <f>IFERROR(__xludf.DUMMYFUNCTION("""COMPUTED_VALUE"""),26.44)</f>
        <v>26.44</v>
      </c>
      <c r="F2667" s="1">
        <f>IFERROR(__xludf.DUMMYFUNCTION("""COMPUTED_VALUE"""),346086.0)</f>
        <v>346086</v>
      </c>
    </row>
    <row r="2668">
      <c r="A2668" s="2">
        <f>IFERROR(__xludf.DUMMYFUNCTION("""COMPUTED_VALUE"""),44053.66666666667)</f>
        <v>44053.66667</v>
      </c>
      <c r="B2668" s="1">
        <f>IFERROR(__xludf.DUMMYFUNCTION("""COMPUTED_VALUE"""),26.47)</f>
        <v>26.47</v>
      </c>
      <c r="C2668" s="1">
        <f>IFERROR(__xludf.DUMMYFUNCTION("""COMPUTED_VALUE"""),27.49)</f>
        <v>27.49</v>
      </c>
      <c r="D2668" s="1">
        <f>IFERROR(__xludf.DUMMYFUNCTION("""COMPUTED_VALUE"""),26.33)</f>
        <v>26.33</v>
      </c>
      <c r="E2668" s="1">
        <f>IFERROR(__xludf.DUMMYFUNCTION("""COMPUTED_VALUE"""),26.86)</f>
        <v>26.86</v>
      </c>
      <c r="F2668" s="1">
        <f>IFERROR(__xludf.DUMMYFUNCTION("""COMPUTED_VALUE"""),377838.0)</f>
        <v>377838</v>
      </c>
    </row>
    <row r="2669">
      <c r="A2669" s="2">
        <f>IFERROR(__xludf.DUMMYFUNCTION("""COMPUTED_VALUE"""),44054.66666666667)</f>
        <v>44054.66667</v>
      </c>
      <c r="B2669" s="1">
        <f>IFERROR(__xludf.DUMMYFUNCTION("""COMPUTED_VALUE"""),27.49)</f>
        <v>27.49</v>
      </c>
      <c r="C2669" s="1">
        <f>IFERROR(__xludf.DUMMYFUNCTION("""COMPUTED_VALUE"""),28.15)</f>
        <v>28.15</v>
      </c>
      <c r="D2669" s="1">
        <f>IFERROR(__xludf.DUMMYFUNCTION("""COMPUTED_VALUE"""),27.3)</f>
        <v>27.3</v>
      </c>
      <c r="E2669" s="1">
        <f>IFERROR(__xludf.DUMMYFUNCTION("""COMPUTED_VALUE"""),27.45)</f>
        <v>27.45</v>
      </c>
      <c r="F2669" s="1">
        <f>IFERROR(__xludf.DUMMYFUNCTION("""COMPUTED_VALUE"""),302205.0)</f>
        <v>302205</v>
      </c>
    </row>
    <row r="2670">
      <c r="A2670" s="2">
        <f>IFERROR(__xludf.DUMMYFUNCTION("""COMPUTED_VALUE"""),44055.66666666667)</f>
        <v>44055.66667</v>
      </c>
      <c r="B2670" s="1">
        <f>IFERROR(__xludf.DUMMYFUNCTION("""COMPUTED_VALUE"""),28.06)</f>
        <v>28.06</v>
      </c>
      <c r="C2670" s="1">
        <f>IFERROR(__xludf.DUMMYFUNCTION("""COMPUTED_VALUE"""),28.36)</f>
        <v>28.36</v>
      </c>
      <c r="D2670" s="1">
        <f>IFERROR(__xludf.DUMMYFUNCTION("""COMPUTED_VALUE"""),26.89)</f>
        <v>26.89</v>
      </c>
      <c r="E2670" s="1">
        <f>IFERROR(__xludf.DUMMYFUNCTION("""COMPUTED_VALUE"""),27.24)</f>
        <v>27.24</v>
      </c>
      <c r="F2670" s="1">
        <f>IFERROR(__xludf.DUMMYFUNCTION("""COMPUTED_VALUE"""),226598.0)</f>
        <v>226598</v>
      </c>
    </row>
    <row r="2671">
      <c r="A2671" s="2">
        <f>IFERROR(__xludf.DUMMYFUNCTION("""COMPUTED_VALUE"""),44056.66666666667)</f>
        <v>44056.66667</v>
      </c>
      <c r="B2671" s="1">
        <f>IFERROR(__xludf.DUMMYFUNCTION("""COMPUTED_VALUE"""),26.82)</f>
        <v>26.82</v>
      </c>
      <c r="C2671" s="1">
        <f>IFERROR(__xludf.DUMMYFUNCTION("""COMPUTED_VALUE"""),26.94)</f>
        <v>26.94</v>
      </c>
      <c r="D2671" s="1">
        <f>IFERROR(__xludf.DUMMYFUNCTION("""COMPUTED_VALUE"""),26.43)</f>
        <v>26.43</v>
      </c>
      <c r="E2671" s="1">
        <f>IFERROR(__xludf.DUMMYFUNCTION("""COMPUTED_VALUE"""),26.64)</f>
        <v>26.64</v>
      </c>
      <c r="F2671" s="1">
        <f>IFERROR(__xludf.DUMMYFUNCTION("""COMPUTED_VALUE"""),206360.0)</f>
        <v>206360</v>
      </c>
    </row>
    <row r="2672">
      <c r="A2672" s="2">
        <f>IFERROR(__xludf.DUMMYFUNCTION("""COMPUTED_VALUE"""),44057.66666666667)</f>
        <v>44057.66667</v>
      </c>
      <c r="B2672" s="1">
        <f>IFERROR(__xludf.DUMMYFUNCTION("""COMPUTED_VALUE"""),26.29)</f>
        <v>26.29</v>
      </c>
      <c r="C2672" s="1">
        <f>IFERROR(__xludf.DUMMYFUNCTION("""COMPUTED_VALUE"""),27.1)</f>
        <v>27.1</v>
      </c>
      <c r="D2672" s="1">
        <f>IFERROR(__xludf.DUMMYFUNCTION("""COMPUTED_VALUE"""),26.22)</f>
        <v>26.22</v>
      </c>
      <c r="E2672" s="1">
        <f>IFERROR(__xludf.DUMMYFUNCTION("""COMPUTED_VALUE"""),26.8)</f>
        <v>26.8</v>
      </c>
      <c r="F2672" s="1">
        <f>IFERROR(__xludf.DUMMYFUNCTION("""COMPUTED_VALUE"""),171530.0)</f>
        <v>171530</v>
      </c>
    </row>
    <row r="2673">
      <c r="A2673" s="2">
        <f>IFERROR(__xludf.DUMMYFUNCTION("""COMPUTED_VALUE"""),44060.66666666667)</f>
        <v>44060.66667</v>
      </c>
      <c r="B2673" s="1">
        <f>IFERROR(__xludf.DUMMYFUNCTION("""COMPUTED_VALUE"""),26.42)</f>
        <v>26.42</v>
      </c>
      <c r="C2673" s="1">
        <f>IFERROR(__xludf.DUMMYFUNCTION("""COMPUTED_VALUE"""),26.75)</f>
        <v>26.75</v>
      </c>
      <c r="D2673" s="1">
        <f>IFERROR(__xludf.DUMMYFUNCTION("""COMPUTED_VALUE"""),26.09)</f>
        <v>26.09</v>
      </c>
      <c r="E2673" s="1">
        <f>IFERROR(__xludf.DUMMYFUNCTION("""COMPUTED_VALUE"""),26.32)</f>
        <v>26.32</v>
      </c>
      <c r="F2673" s="1">
        <f>IFERROR(__xludf.DUMMYFUNCTION("""COMPUTED_VALUE"""),232911.0)</f>
        <v>232911</v>
      </c>
    </row>
    <row r="2674">
      <c r="A2674" s="2">
        <f>IFERROR(__xludf.DUMMYFUNCTION("""COMPUTED_VALUE"""),44061.66666666667)</f>
        <v>44061.66667</v>
      </c>
      <c r="B2674" s="1">
        <f>IFERROR(__xludf.DUMMYFUNCTION("""COMPUTED_VALUE"""),26.38)</f>
        <v>26.38</v>
      </c>
      <c r="C2674" s="1">
        <f>IFERROR(__xludf.DUMMYFUNCTION("""COMPUTED_VALUE"""),26.49)</f>
        <v>26.49</v>
      </c>
      <c r="D2674" s="1">
        <f>IFERROR(__xludf.DUMMYFUNCTION("""COMPUTED_VALUE"""),25.41)</f>
        <v>25.41</v>
      </c>
      <c r="E2674" s="1">
        <f>IFERROR(__xludf.DUMMYFUNCTION("""COMPUTED_VALUE"""),25.49)</f>
        <v>25.49</v>
      </c>
      <c r="F2674" s="1">
        <f>IFERROR(__xludf.DUMMYFUNCTION("""COMPUTED_VALUE"""),207301.0)</f>
        <v>207301</v>
      </c>
    </row>
    <row r="2675">
      <c r="A2675" s="2">
        <f>IFERROR(__xludf.DUMMYFUNCTION("""COMPUTED_VALUE"""),44062.66666666667)</f>
        <v>44062.66667</v>
      </c>
      <c r="B2675" s="1">
        <f>IFERROR(__xludf.DUMMYFUNCTION("""COMPUTED_VALUE"""),25.49)</f>
        <v>25.49</v>
      </c>
      <c r="C2675" s="1">
        <f>IFERROR(__xludf.DUMMYFUNCTION("""COMPUTED_VALUE"""),26.07)</f>
        <v>26.07</v>
      </c>
      <c r="D2675" s="1">
        <f>IFERROR(__xludf.DUMMYFUNCTION("""COMPUTED_VALUE"""),25.46)</f>
        <v>25.46</v>
      </c>
      <c r="E2675" s="1">
        <f>IFERROR(__xludf.DUMMYFUNCTION("""COMPUTED_VALUE"""),25.62)</f>
        <v>25.62</v>
      </c>
      <c r="F2675" s="1">
        <f>IFERROR(__xludf.DUMMYFUNCTION("""COMPUTED_VALUE"""),233185.0)</f>
        <v>233185</v>
      </c>
    </row>
    <row r="2676">
      <c r="A2676" s="2">
        <f>IFERROR(__xludf.DUMMYFUNCTION("""COMPUTED_VALUE"""),44063.66666666667)</f>
        <v>44063.66667</v>
      </c>
      <c r="B2676" s="1">
        <f>IFERROR(__xludf.DUMMYFUNCTION("""COMPUTED_VALUE"""),25.12)</f>
        <v>25.12</v>
      </c>
      <c r="C2676" s="1">
        <f>IFERROR(__xludf.DUMMYFUNCTION("""COMPUTED_VALUE"""),26.15)</f>
        <v>26.15</v>
      </c>
      <c r="D2676" s="1">
        <f>IFERROR(__xludf.DUMMYFUNCTION("""COMPUTED_VALUE"""),24.87)</f>
        <v>24.87</v>
      </c>
      <c r="E2676" s="1">
        <f>IFERROR(__xludf.DUMMYFUNCTION("""COMPUTED_VALUE"""),24.97)</f>
        <v>24.97</v>
      </c>
      <c r="F2676" s="1">
        <f>IFERROR(__xludf.DUMMYFUNCTION("""COMPUTED_VALUE"""),209457.0)</f>
        <v>209457</v>
      </c>
    </row>
    <row r="2677">
      <c r="A2677" s="2">
        <f>IFERROR(__xludf.DUMMYFUNCTION("""COMPUTED_VALUE"""),44064.66666666667)</f>
        <v>44064.66667</v>
      </c>
      <c r="B2677" s="1">
        <f>IFERROR(__xludf.DUMMYFUNCTION("""COMPUTED_VALUE"""),24.8)</f>
        <v>24.8</v>
      </c>
      <c r="C2677" s="1">
        <f>IFERROR(__xludf.DUMMYFUNCTION("""COMPUTED_VALUE"""),25.16)</f>
        <v>25.16</v>
      </c>
      <c r="D2677" s="1">
        <f>IFERROR(__xludf.DUMMYFUNCTION("""COMPUTED_VALUE"""),24.52)</f>
        <v>24.52</v>
      </c>
      <c r="E2677" s="1">
        <f>IFERROR(__xludf.DUMMYFUNCTION("""COMPUTED_VALUE"""),24.81)</f>
        <v>24.81</v>
      </c>
      <c r="F2677" s="1">
        <f>IFERROR(__xludf.DUMMYFUNCTION("""COMPUTED_VALUE"""),230749.0)</f>
        <v>230749</v>
      </c>
    </row>
    <row r="2678">
      <c r="A2678" s="2">
        <f>IFERROR(__xludf.DUMMYFUNCTION("""COMPUTED_VALUE"""),44067.66666666667)</f>
        <v>44067.66667</v>
      </c>
      <c r="B2678" s="1">
        <f>IFERROR(__xludf.DUMMYFUNCTION("""COMPUTED_VALUE"""),25.07)</f>
        <v>25.07</v>
      </c>
      <c r="C2678" s="1">
        <f>IFERROR(__xludf.DUMMYFUNCTION("""COMPUTED_VALUE"""),25.78)</f>
        <v>25.78</v>
      </c>
      <c r="D2678" s="1">
        <f>IFERROR(__xludf.DUMMYFUNCTION("""COMPUTED_VALUE"""),24.7)</f>
        <v>24.7</v>
      </c>
      <c r="E2678" s="1">
        <f>IFERROR(__xludf.DUMMYFUNCTION("""COMPUTED_VALUE"""),25.78)</f>
        <v>25.78</v>
      </c>
      <c r="F2678" s="1">
        <f>IFERROR(__xludf.DUMMYFUNCTION("""COMPUTED_VALUE"""),315142.0)</f>
        <v>315142</v>
      </c>
    </row>
    <row r="2679">
      <c r="A2679" s="2">
        <f>IFERROR(__xludf.DUMMYFUNCTION("""COMPUTED_VALUE"""),44068.66666666667)</f>
        <v>44068.66667</v>
      </c>
      <c r="B2679" s="1">
        <f>IFERROR(__xludf.DUMMYFUNCTION("""COMPUTED_VALUE"""),25.97)</f>
        <v>25.97</v>
      </c>
      <c r="C2679" s="1">
        <f>IFERROR(__xludf.DUMMYFUNCTION("""COMPUTED_VALUE"""),26.35)</f>
        <v>26.35</v>
      </c>
      <c r="D2679" s="1">
        <f>IFERROR(__xludf.DUMMYFUNCTION("""COMPUTED_VALUE"""),25.52)</f>
        <v>25.52</v>
      </c>
      <c r="E2679" s="1">
        <f>IFERROR(__xludf.DUMMYFUNCTION("""COMPUTED_VALUE"""),25.74)</f>
        <v>25.74</v>
      </c>
      <c r="F2679" s="1">
        <f>IFERROR(__xludf.DUMMYFUNCTION("""COMPUTED_VALUE"""),179764.0)</f>
        <v>179764</v>
      </c>
    </row>
    <row r="2680">
      <c r="A2680" s="2">
        <f>IFERROR(__xludf.DUMMYFUNCTION("""COMPUTED_VALUE"""),44069.66666666667)</f>
        <v>44069.66667</v>
      </c>
      <c r="B2680" s="1">
        <f>IFERROR(__xludf.DUMMYFUNCTION("""COMPUTED_VALUE"""),25.78)</f>
        <v>25.78</v>
      </c>
      <c r="C2680" s="1">
        <f>IFERROR(__xludf.DUMMYFUNCTION("""COMPUTED_VALUE"""),25.78)</f>
        <v>25.78</v>
      </c>
      <c r="D2680" s="1">
        <f>IFERROR(__xludf.DUMMYFUNCTION("""COMPUTED_VALUE"""),25.02)</f>
        <v>25.02</v>
      </c>
      <c r="E2680" s="1">
        <f>IFERROR(__xludf.DUMMYFUNCTION("""COMPUTED_VALUE"""),25.09)</f>
        <v>25.09</v>
      </c>
      <c r="F2680" s="1">
        <f>IFERROR(__xludf.DUMMYFUNCTION("""COMPUTED_VALUE"""),256583.0)</f>
        <v>256583</v>
      </c>
    </row>
    <row r="2681">
      <c r="A2681" s="2">
        <f>IFERROR(__xludf.DUMMYFUNCTION("""COMPUTED_VALUE"""),44070.66666666667)</f>
        <v>44070.66667</v>
      </c>
      <c r="B2681" s="1">
        <f>IFERROR(__xludf.DUMMYFUNCTION("""COMPUTED_VALUE"""),25.27)</f>
        <v>25.27</v>
      </c>
      <c r="C2681" s="1">
        <f>IFERROR(__xludf.DUMMYFUNCTION("""COMPUTED_VALUE"""),26.08)</f>
        <v>26.08</v>
      </c>
      <c r="D2681" s="1">
        <f>IFERROR(__xludf.DUMMYFUNCTION("""COMPUTED_VALUE"""),25.26)</f>
        <v>25.26</v>
      </c>
      <c r="E2681" s="1">
        <f>IFERROR(__xludf.DUMMYFUNCTION("""COMPUTED_VALUE"""),25.72)</f>
        <v>25.72</v>
      </c>
      <c r="F2681" s="1">
        <f>IFERROR(__xludf.DUMMYFUNCTION("""COMPUTED_VALUE"""),220142.0)</f>
        <v>220142</v>
      </c>
    </row>
    <row r="2682">
      <c r="A2682" s="2">
        <f>IFERROR(__xludf.DUMMYFUNCTION("""COMPUTED_VALUE"""),44071.66666666667)</f>
        <v>44071.66667</v>
      </c>
      <c r="B2682" s="1">
        <f>IFERROR(__xludf.DUMMYFUNCTION("""COMPUTED_VALUE"""),26.07)</f>
        <v>26.07</v>
      </c>
      <c r="C2682" s="1">
        <f>IFERROR(__xludf.DUMMYFUNCTION("""COMPUTED_VALUE"""),26.07)</f>
        <v>26.07</v>
      </c>
      <c r="D2682" s="1">
        <f>IFERROR(__xludf.DUMMYFUNCTION("""COMPUTED_VALUE"""),25.42)</f>
        <v>25.42</v>
      </c>
      <c r="E2682" s="1">
        <f>IFERROR(__xludf.DUMMYFUNCTION("""COMPUTED_VALUE"""),25.67)</f>
        <v>25.67</v>
      </c>
      <c r="F2682" s="1">
        <f>IFERROR(__xludf.DUMMYFUNCTION("""COMPUTED_VALUE"""),290745.0)</f>
        <v>290745</v>
      </c>
    </row>
    <row r="2683">
      <c r="A2683" s="2">
        <f>IFERROR(__xludf.DUMMYFUNCTION("""COMPUTED_VALUE"""),44074.66666666667)</f>
        <v>44074.66667</v>
      </c>
      <c r="B2683" s="1">
        <f>IFERROR(__xludf.DUMMYFUNCTION("""COMPUTED_VALUE"""),25.29)</f>
        <v>25.29</v>
      </c>
      <c r="C2683" s="1">
        <f>IFERROR(__xludf.DUMMYFUNCTION("""COMPUTED_VALUE"""),25.39)</f>
        <v>25.39</v>
      </c>
      <c r="D2683" s="1">
        <f>IFERROR(__xludf.DUMMYFUNCTION("""COMPUTED_VALUE"""),24.69)</f>
        <v>24.69</v>
      </c>
      <c r="E2683" s="1">
        <f>IFERROR(__xludf.DUMMYFUNCTION("""COMPUTED_VALUE"""),24.69)</f>
        <v>24.69</v>
      </c>
      <c r="F2683" s="1">
        <f>IFERROR(__xludf.DUMMYFUNCTION("""COMPUTED_VALUE"""),412404.0)</f>
        <v>412404</v>
      </c>
    </row>
    <row r="2684">
      <c r="A2684" s="2">
        <f>IFERROR(__xludf.DUMMYFUNCTION("""COMPUTED_VALUE"""),44075.66666666667)</f>
        <v>44075.66667</v>
      </c>
      <c r="B2684" s="1">
        <f>IFERROR(__xludf.DUMMYFUNCTION("""COMPUTED_VALUE"""),24.5)</f>
        <v>24.5</v>
      </c>
      <c r="C2684" s="1">
        <f>IFERROR(__xludf.DUMMYFUNCTION("""COMPUTED_VALUE"""),25.11)</f>
        <v>25.11</v>
      </c>
      <c r="D2684" s="1">
        <f>IFERROR(__xludf.DUMMYFUNCTION("""COMPUTED_VALUE"""),24.41)</f>
        <v>24.41</v>
      </c>
      <c r="E2684" s="1">
        <f>IFERROR(__xludf.DUMMYFUNCTION("""COMPUTED_VALUE"""),24.63)</f>
        <v>24.63</v>
      </c>
      <c r="F2684" s="1">
        <f>IFERROR(__xludf.DUMMYFUNCTION("""COMPUTED_VALUE"""),247237.0)</f>
        <v>247237</v>
      </c>
    </row>
    <row r="2685">
      <c r="A2685" s="2">
        <f>IFERROR(__xludf.DUMMYFUNCTION("""COMPUTED_VALUE"""),44076.66666666667)</f>
        <v>44076.66667</v>
      </c>
      <c r="B2685" s="1">
        <f>IFERROR(__xludf.DUMMYFUNCTION("""COMPUTED_VALUE"""),24.47)</f>
        <v>24.47</v>
      </c>
      <c r="C2685" s="1">
        <f>IFERROR(__xludf.DUMMYFUNCTION("""COMPUTED_VALUE"""),24.81)</f>
        <v>24.81</v>
      </c>
      <c r="D2685" s="1">
        <f>IFERROR(__xludf.DUMMYFUNCTION("""COMPUTED_VALUE"""),24.37)</f>
        <v>24.37</v>
      </c>
      <c r="E2685" s="1">
        <f>IFERROR(__xludf.DUMMYFUNCTION("""COMPUTED_VALUE"""),24.7)</f>
        <v>24.7</v>
      </c>
      <c r="F2685" s="1">
        <f>IFERROR(__xludf.DUMMYFUNCTION("""COMPUTED_VALUE"""),197163.0)</f>
        <v>197163</v>
      </c>
    </row>
    <row r="2686">
      <c r="A2686" s="2">
        <f>IFERROR(__xludf.DUMMYFUNCTION("""COMPUTED_VALUE"""),44077.66666666667)</f>
        <v>44077.66667</v>
      </c>
      <c r="B2686" s="1">
        <f>IFERROR(__xludf.DUMMYFUNCTION("""COMPUTED_VALUE"""),24.87)</f>
        <v>24.87</v>
      </c>
      <c r="C2686" s="1">
        <f>IFERROR(__xludf.DUMMYFUNCTION("""COMPUTED_VALUE"""),25.73)</f>
        <v>25.73</v>
      </c>
      <c r="D2686" s="1">
        <f>IFERROR(__xludf.DUMMYFUNCTION("""COMPUTED_VALUE"""),24.36)</f>
        <v>24.36</v>
      </c>
      <c r="E2686" s="1">
        <f>IFERROR(__xludf.DUMMYFUNCTION("""COMPUTED_VALUE"""),24.45)</f>
        <v>24.45</v>
      </c>
      <c r="F2686" s="1">
        <f>IFERROR(__xludf.DUMMYFUNCTION("""COMPUTED_VALUE"""),228345.0)</f>
        <v>228345</v>
      </c>
    </row>
    <row r="2687">
      <c r="A2687" s="2">
        <f>IFERROR(__xludf.DUMMYFUNCTION("""COMPUTED_VALUE"""),44078.66666666667)</f>
        <v>44078.66667</v>
      </c>
      <c r="B2687" s="1">
        <f>IFERROR(__xludf.DUMMYFUNCTION("""COMPUTED_VALUE"""),25.11)</f>
        <v>25.11</v>
      </c>
      <c r="C2687" s="1">
        <f>IFERROR(__xludf.DUMMYFUNCTION("""COMPUTED_VALUE"""),25.47)</f>
        <v>25.47</v>
      </c>
      <c r="D2687" s="1">
        <f>IFERROR(__xludf.DUMMYFUNCTION("""COMPUTED_VALUE"""),24.57)</f>
        <v>24.57</v>
      </c>
      <c r="E2687" s="1">
        <f>IFERROR(__xludf.DUMMYFUNCTION("""COMPUTED_VALUE"""),25.05)</f>
        <v>25.05</v>
      </c>
      <c r="F2687" s="1">
        <f>IFERROR(__xludf.DUMMYFUNCTION("""COMPUTED_VALUE"""),267880.0)</f>
        <v>267880</v>
      </c>
    </row>
    <row r="2688">
      <c r="A2688" s="2">
        <f>IFERROR(__xludf.DUMMYFUNCTION("""COMPUTED_VALUE"""),44082.66666666667)</f>
        <v>44082.66667</v>
      </c>
      <c r="B2688" s="1">
        <f>IFERROR(__xludf.DUMMYFUNCTION("""COMPUTED_VALUE"""),24.8)</f>
        <v>24.8</v>
      </c>
      <c r="C2688" s="1">
        <f>IFERROR(__xludf.DUMMYFUNCTION("""COMPUTED_VALUE"""),25.15)</f>
        <v>25.15</v>
      </c>
      <c r="D2688" s="1">
        <f>IFERROR(__xludf.DUMMYFUNCTION("""COMPUTED_VALUE"""),23.66)</f>
        <v>23.66</v>
      </c>
      <c r="E2688" s="1">
        <f>IFERROR(__xludf.DUMMYFUNCTION("""COMPUTED_VALUE"""),23.87)</f>
        <v>23.87</v>
      </c>
      <c r="F2688" s="1">
        <f>IFERROR(__xludf.DUMMYFUNCTION("""COMPUTED_VALUE"""),442057.0)</f>
        <v>442057</v>
      </c>
    </row>
    <row r="2689">
      <c r="A2689" s="2">
        <f>IFERROR(__xludf.DUMMYFUNCTION("""COMPUTED_VALUE"""),44083.66666666667)</f>
        <v>44083.66667</v>
      </c>
      <c r="B2689" s="1">
        <f>IFERROR(__xludf.DUMMYFUNCTION("""COMPUTED_VALUE"""),23.97)</f>
        <v>23.97</v>
      </c>
      <c r="C2689" s="1">
        <f>IFERROR(__xludf.DUMMYFUNCTION("""COMPUTED_VALUE"""),24.11)</f>
        <v>24.11</v>
      </c>
      <c r="D2689" s="1">
        <f>IFERROR(__xludf.DUMMYFUNCTION("""COMPUTED_VALUE"""),23.35)</f>
        <v>23.35</v>
      </c>
      <c r="E2689" s="1">
        <f>IFERROR(__xludf.DUMMYFUNCTION("""COMPUTED_VALUE"""),23.5)</f>
        <v>23.5</v>
      </c>
      <c r="F2689" s="1">
        <f>IFERROR(__xludf.DUMMYFUNCTION("""COMPUTED_VALUE"""),364808.0)</f>
        <v>364808</v>
      </c>
    </row>
    <row r="2690">
      <c r="A2690" s="2">
        <f>IFERROR(__xludf.DUMMYFUNCTION("""COMPUTED_VALUE"""),44084.66666666667)</f>
        <v>44084.66667</v>
      </c>
      <c r="B2690" s="1">
        <f>IFERROR(__xludf.DUMMYFUNCTION("""COMPUTED_VALUE"""),23.6)</f>
        <v>23.6</v>
      </c>
      <c r="C2690" s="1">
        <f>IFERROR(__xludf.DUMMYFUNCTION("""COMPUTED_VALUE"""),23.75)</f>
        <v>23.75</v>
      </c>
      <c r="D2690" s="1">
        <f>IFERROR(__xludf.DUMMYFUNCTION("""COMPUTED_VALUE"""),23.14)</f>
        <v>23.14</v>
      </c>
      <c r="E2690" s="1">
        <f>IFERROR(__xludf.DUMMYFUNCTION("""COMPUTED_VALUE"""),23.18)</f>
        <v>23.18</v>
      </c>
      <c r="F2690" s="1">
        <f>IFERROR(__xludf.DUMMYFUNCTION("""COMPUTED_VALUE"""),349436.0)</f>
        <v>349436</v>
      </c>
    </row>
    <row r="2691">
      <c r="A2691" s="2">
        <f>IFERROR(__xludf.DUMMYFUNCTION("""COMPUTED_VALUE"""),44085.66666666667)</f>
        <v>44085.66667</v>
      </c>
      <c r="B2691" s="1">
        <f>IFERROR(__xludf.DUMMYFUNCTION("""COMPUTED_VALUE"""),23.18)</f>
        <v>23.18</v>
      </c>
      <c r="C2691" s="1">
        <f>IFERROR(__xludf.DUMMYFUNCTION("""COMPUTED_VALUE"""),23.36)</f>
        <v>23.36</v>
      </c>
      <c r="D2691" s="1">
        <f>IFERROR(__xludf.DUMMYFUNCTION("""COMPUTED_VALUE"""),22.9)</f>
        <v>22.9</v>
      </c>
      <c r="E2691" s="1">
        <f>IFERROR(__xludf.DUMMYFUNCTION("""COMPUTED_VALUE"""),23.13)</f>
        <v>23.13</v>
      </c>
      <c r="F2691" s="1">
        <f>IFERROR(__xludf.DUMMYFUNCTION("""COMPUTED_VALUE"""),258888.0)</f>
        <v>258888</v>
      </c>
    </row>
    <row r="2692">
      <c r="A2692" s="2">
        <f>IFERROR(__xludf.DUMMYFUNCTION("""COMPUTED_VALUE"""),44088.66666666667)</f>
        <v>44088.66667</v>
      </c>
      <c r="B2692" s="1">
        <f>IFERROR(__xludf.DUMMYFUNCTION("""COMPUTED_VALUE"""),23.19)</f>
        <v>23.19</v>
      </c>
      <c r="C2692" s="1">
        <f>IFERROR(__xludf.DUMMYFUNCTION("""COMPUTED_VALUE"""),23.67)</f>
        <v>23.67</v>
      </c>
      <c r="D2692" s="1">
        <f>IFERROR(__xludf.DUMMYFUNCTION("""COMPUTED_VALUE"""),23.18)</f>
        <v>23.18</v>
      </c>
      <c r="E2692" s="1">
        <f>IFERROR(__xludf.DUMMYFUNCTION("""COMPUTED_VALUE"""),23.46)</f>
        <v>23.46</v>
      </c>
      <c r="F2692" s="1">
        <f>IFERROR(__xludf.DUMMYFUNCTION("""COMPUTED_VALUE"""),267630.0)</f>
        <v>267630</v>
      </c>
    </row>
    <row r="2693">
      <c r="A2693" s="2">
        <f>IFERROR(__xludf.DUMMYFUNCTION("""COMPUTED_VALUE"""),44089.66666666667)</f>
        <v>44089.66667</v>
      </c>
      <c r="B2693" s="1">
        <f>IFERROR(__xludf.DUMMYFUNCTION("""COMPUTED_VALUE"""),23.52)</f>
        <v>23.52</v>
      </c>
      <c r="C2693" s="1">
        <f>IFERROR(__xludf.DUMMYFUNCTION("""COMPUTED_VALUE"""),23.78)</f>
        <v>23.78</v>
      </c>
      <c r="D2693" s="1">
        <f>IFERROR(__xludf.DUMMYFUNCTION("""COMPUTED_VALUE"""),23.02)</f>
        <v>23.02</v>
      </c>
      <c r="E2693" s="1">
        <f>IFERROR(__xludf.DUMMYFUNCTION("""COMPUTED_VALUE"""),23.06)</f>
        <v>23.06</v>
      </c>
      <c r="F2693" s="1">
        <f>IFERROR(__xludf.DUMMYFUNCTION("""COMPUTED_VALUE"""),251634.0)</f>
        <v>251634</v>
      </c>
    </row>
    <row r="2694">
      <c r="A2694" s="2">
        <f>IFERROR(__xludf.DUMMYFUNCTION("""COMPUTED_VALUE"""),44090.66666666667)</f>
        <v>44090.66667</v>
      </c>
      <c r="B2694" s="1">
        <f>IFERROR(__xludf.DUMMYFUNCTION("""COMPUTED_VALUE"""),23.06)</f>
        <v>23.06</v>
      </c>
      <c r="C2694" s="1">
        <f>IFERROR(__xludf.DUMMYFUNCTION("""COMPUTED_VALUE"""),23.78)</f>
        <v>23.78</v>
      </c>
      <c r="D2694" s="1">
        <f>IFERROR(__xludf.DUMMYFUNCTION("""COMPUTED_VALUE"""),22.88)</f>
        <v>22.88</v>
      </c>
      <c r="E2694" s="1">
        <f>IFERROR(__xludf.DUMMYFUNCTION("""COMPUTED_VALUE"""),23.46)</f>
        <v>23.46</v>
      </c>
      <c r="F2694" s="1">
        <f>IFERROR(__xludf.DUMMYFUNCTION("""COMPUTED_VALUE"""),436445.0)</f>
        <v>436445</v>
      </c>
    </row>
    <row r="2695">
      <c r="A2695" s="2">
        <f>IFERROR(__xludf.DUMMYFUNCTION("""COMPUTED_VALUE"""),44091.66666666667)</f>
        <v>44091.66667</v>
      </c>
      <c r="B2695" s="1">
        <f>IFERROR(__xludf.DUMMYFUNCTION("""COMPUTED_VALUE"""),23.1)</f>
        <v>23.1</v>
      </c>
      <c r="C2695" s="1">
        <f>IFERROR(__xludf.DUMMYFUNCTION("""COMPUTED_VALUE"""),23.39)</f>
        <v>23.39</v>
      </c>
      <c r="D2695" s="1">
        <f>IFERROR(__xludf.DUMMYFUNCTION("""COMPUTED_VALUE"""),22.99)</f>
        <v>22.99</v>
      </c>
      <c r="E2695" s="1">
        <f>IFERROR(__xludf.DUMMYFUNCTION("""COMPUTED_VALUE"""),23.17)</f>
        <v>23.17</v>
      </c>
      <c r="F2695" s="1">
        <f>IFERROR(__xludf.DUMMYFUNCTION("""COMPUTED_VALUE"""),549165.0)</f>
        <v>549165</v>
      </c>
    </row>
    <row r="2696">
      <c r="A2696" s="2">
        <f>IFERROR(__xludf.DUMMYFUNCTION("""COMPUTED_VALUE"""),44092.66666666667)</f>
        <v>44092.66667</v>
      </c>
      <c r="B2696" s="1">
        <f>IFERROR(__xludf.DUMMYFUNCTION("""COMPUTED_VALUE"""),23.31)</f>
        <v>23.31</v>
      </c>
      <c r="C2696" s="1">
        <f>IFERROR(__xludf.DUMMYFUNCTION("""COMPUTED_VALUE"""),23.4)</f>
        <v>23.4</v>
      </c>
      <c r="D2696" s="1">
        <f>IFERROR(__xludf.DUMMYFUNCTION("""COMPUTED_VALUE"""),22.67)</f>
        <v>22.67</v>
      </c>
      <c r="E2696" s="1">
        <f>IFERROR(__xludf.DUMMYFUNCTION("""COMPUTED_VALUE"""),22.85)</f>
        <v>22.85</v>
      </c>
      <c r="F2696" s="1">
        <f>IFERROR(__xludf.DUMMYFUNCTION("""COMPUTED_VALUE"""),1462292.0)</f>
        <v>1462292</v>
      </c>
    </row>
    <row r="2697">
      <c r="A2697" s="2">
        <f>IFERROR(__xludf.DUMMYFUNCTION("""COMPUTED_VALUE"""),44095.66666666667)</f>
        <v>44095.66667</v>
      </c>
      <c r="B2697" s="1">
        <f>IFERROR(__xludf.DUMMYFUNCTION("""COMPUTED_VALUE"""),22.29)</f>
        <v>22.29</v>
      </c>
      <c r="C2697" s="1">
        <f>IFERROR(__xludf.DUMMYFUNCTION("""COMPUTED_VALUE"""),23.43)</f>
        <v>23.43</v>
      </c>
      <c r="D2697" s="1">
        <f>IFERROR(__xludf.DUMMYFUNCTION("""COMPUTED_VALUE"""),21.16)</f>
        <v>21.16</v>
      </c>
      <c r="E2697" s="1">
        <f>IFERROR(__xludf.DUMMYFUNCTION("""COMPUTED_VALUE"""),21.49)</f>
        <v>21.49</v>
      </c>
      <c r="F2697" s="1">
        <f>IFERROR(__xludf.DUMMYFUNCTION("""COMPUTED_VALUE"""),492542.0)</f>
        <v>492542</v>
      </c>
    </row>
    <row r="2698">
      <c r="A2698" s="2">
        <f>IFERROR(__xludf.DUMMYFUNCTION("""COMPUTED_VALUE"""),44096.66666666667)</f>
        <v>44096.66667</v>
      </c>
      <c r="B2698" s="1">
        <f>IFERROR(__xludf.DUMMYFUNCTION("""COMPUTED_VALUE"""),21.58)</f>
        <v>21.58</v>
      </c>
      <c r="C2698" s="1">
        <f>IFERROR(__xludf.DUMMYFUNCTION("""COMPUTED_VALUE"""),21.87)</f>
        <v>21.87</v>
      </c>
      <c r="D2698" s="1">
        <f>IFERROR(__xludf.DUMMYFUNCTION("""COMPUTED_VALUE"""),21.04)</f>
        <v>21.04</v>
      </c>
      <c r="E2698" s="1">
        <f>IFERROR(__xludf.DUMMYFUNCTION("""COMPUTED_VALUE"""),21.16)</f>
        <v>21.16</v>
      </c>
      <c r="F2698" s="1">
        <f>IFERROR(__xludf.DUMMYFUNCTION("""COMPUTED_VALUE"""),454448.0)</f>
        <v>454448</v>
      </c>
    </row>
    <row r="2699">
      <c r="A2699" s="2">
        <f>IFERROR(__xludf.DUMMYFUNCTION("""COMPUTED_VALUE"""),44097.66666666667)</f>
        <v>44097.66667</v>
      </c>
      <c r="B2699" s="1">
        <f>IFERROR(__xludf.DUMMYFUNCTION("""COMPUTED_VALUE"""),21.26)</f>
        <v>21.26</v>
      </c>
      <c r="C2699" s="1">
        <f>IFERROR(__xludf.DUMMYFUNCTION("""COMPUTED_VALUE"""),21.77)</f>
        <v>21.77</v>
      </c>
      <c r="D2699" s="1">
        <f>IFERROR(__xludf.DUMMYFUNCTION("""COMPUTED_VALUE"""),20.86)</f>
        <v>20.86</v>
      </c>
      <c r="E2699" s="1">
        <f>IFERROR(__xludf.DUMMYFUNCTION("""COMPUTED_VALUE"""),20.88)</f>
        <v>20.88</v>
      </c>
      <c r="F2699" s="1">
        <f>IFERROR(__xludf.DUMMYFUNCTION("""COMPUTED_VALUE"""),409554.0)</f>
        <v>409554</v>
      </c>
    </row>
    <row r="2700">
      <c r="A2700" s="2">
        <f>IFERROR(__xludf.DUMMYFUNCTION("""COMPUTED_VALUE"""),44098.66666666667)</f>
        <v>44098.66667</v>
      </c>
      <c r="B2700" s="1">
        <f>IFERROR(__xludf.DUMMYFUNCTION("""COMPUTED_VALUE"""),20.89)</f>
        <v>20.89</v>
      </c>
      <c r="C2700" s="1">
        <f>IFERROR(__xludf.DUMMYFUNCTION("""COMPUTED_VALUE"""),21.67)</f>
        <v>21.67</v>
      </c>
      <c r="D2700" s="1">
        <f>IFERROR(__xludf.DUMMYFUNCTION("""COMPUTED_VALUE"""),20.59)</f>
        <v>20.59</v>
      </c>
      <c r="E2700" s="1">
        <f>IFERROR(__xludf.DUMMYFUNCTION("""COMPUTED_VALUE"""),21.14)</f>
        <v>21.14</v>
      </c>
      <c r="F2700" s="1">
        <f>IFERROR(__xludf.DUMMYFUNCTION("""COMPUTED_VALUE"""),282699.0)</f>
        <v>282699</v>
      </c>
    </row>
    <row r="2701">
      <c r="A2701" s="2">
        <f>IFERROR(__xludf.DUMMYFUNCTION("""COMPUTED_VALUE"""),44099.66666666667)</f>
        <v>44099.66667</v>
      </c>
      <c r="B2701" s="1">
        <f>IFERROR(__xludf.DUMMYFUNCTION("""COMPUTED_VALUE"""),20.85)</f>
        <v>20.85</v>
      </c>
      <c r="C2701" s="1">
        <f>IFERROR(__xludf.DUMMYFUNCTION("""COMPUTED_VALUE"""),21.4)</f>
        <v>21.4</v>
      </c>
      <c r="D2701" s="1">
        <f>IFERROR(__xludf.DUMMYFUNCTION("""COMPUTED_VALUE"""),20.78)</f>
        <v>20.78</v>
      </c>
      <c r="E2701" s="1">
        <f>IFERROR(__xludf.DUMMYFUNCTION("""COMPUTED_VALUE"""),21.29)</f>
        <v>21.29</v>
      </c>
      <c r="F2701" s="1">
        <f>IFERROR(__xludf.DUMMYFUNCTION("""COMPUTED_VALUE"""),267912.0)</f>
        <v>267912</v>
      </c>
    </row>
    <row r="2702">
      <c r="A2702" s="2">
        <f>IFERROR(__xludf.DUMMYFUNCTION("""COMPUTED_VALUE"""),44102.66666666667)</f>
        <v>44102.66667</v>
      </c>
      <c r="B2702" s="1">
        <f>IFERROR(__xludf.DUMMYFUNCTION("""COMPUTED_VALUE"""),21.73)</f>
        <v>21.73</v>
      </c>
      <c r="C2702" s="1">
        <f>IFERROR(__xludf.DUMMYFUNCTION("""COMPUTED_VALUE"""),22.18)</f>
        <v>22.18</v>
      </c>
      <c r="D2702" s="1">
        <f>IFERROR(__xludf.DUMMYFUNCTION("""COMPUTED_VALUE"""),21.66)</f>
        <v>21.66</v>
      </c>
      <c r="E2702" s="1">
        <f>IFERROR(__xludf.DUMMYFUNCTION("""COMPUTED_VALUE"""),22.01)</f>
        <v>22.01</v>
      </c>
      <c r="F2702" s="1">
        <f>IFERROR(__xludf.DUMMYFUNCTION("""COMPUTED_VALUE"""),329380.0)</f>
        <v>329380</v>
      </c>
    </row>
    <row r="2703">
      <c r="A2703" s="2">
        <f>IFERROR(__xludf.DUMMYFUNCTION("""COMPUTED_VALUE"""),44103.66666666667)</f>
        <v>44103.66667</v>
      </c>
      <c r="B2703" s="1">
        <f>IFERROR(__xludf.DUMMYFUNCTION("""COMPUTED_VALUE"""),21.88)</f>
        <v>21.88</v>
      </c>
      <c r="C2703" s="1">
        <f>IFERROR(__xludf.DUMMYFUNCTION("""COMPUTED_VALUE"""),21.9)</f>
        <v>21.9</v>
      </c>
      <c r="D2703" s="1">
        <f>IFERROR(__xludf.DUMMYFUNCTION("""COMPUTED_VALUE"""),21.43)</f>
        <v>21.43</v>
      </c>
      <c r="E2703" s="1">
        <f>IFERROR(__xludf.DUMMYFUNCTION("""COMPUTED_VALUE"""),21.71)</f>
        <v>21.71</v>
      </c>
      <c r="F2703" s="1">
        <f>IFERROR(__xludf.DUMMYFUNCTION("""COMPUTED_VALUE"""),375459.0)</f>
        <v>375459</v>
      </c>
    </row>
    <row r="2704">
      <c r="A2704" s="2">
        <f>IFERROR(__xludf.DUMMYFUNCTION("""COMPUTED_VALUE"""),44104.66666666667)</f>
        <v>44104.66667</v>
      </c>
      <c r="B2704" s="1">
        <f>IFERROR(__xludf.DUMMYFUNCTION("""COMPUTED_VALUE"""),21.9)</f>
        <v>21.9</v>
      </c>
      <c r="C2704" s="1">
        <f>IFERROR(__xludf.DUMMYFUNCTION("""COMPUTED_VALUE"""),22.18)</f>
        <v>22.18</v>
      </c>
      <c r="D2704" s="1">
        <f>IFERROR(__xludf.DUMMYFUNCTION("""COMPUTED_VALUE"""),21.48)</f>
        <v>21.48</v>
      </c>
      <c r="E2704" s="1">
        <f>IFERROR(__xludf.DUMMYFUNCTION("""COMPUTED_VALUE"""),21.68)</f>
        <v>21.68</v>
      </c>
      <c r="F2704" s="1">
        <f>IFERROR(__xludf.DUMMYFUNCTION("""COMPUTED_VALUE"""),355604.0)</f>
        <v>355604</v>
      </c>
    </row>
    <row r="2705">
      <c r="A2705" s="2">
        <f>IFERROR(__xludf.DUMMYFUNCTION("""COMPUTED_VALUE"""),44105.66666666667)</f>
        <v>44105.66667</v>
      </c>
      <c r="B2705" s="1">
        <f>IFERROR(__xludf.DUMMYFUNCTION("""COMPUTED_VALUE"""),21.58)</f>
        <v>21.58</v>
      </c>
      <c r="C2705" s="1">
        <f>IFERROR(__xludf.DUMMYFUNCTION("""COMPUTED_VALUE"""),21.88)</f>
        <v>21.88</v>
      </c>
      <c r="D2705" s="1">
        <f>IFERROR(__xludf.DUMMYFUNCTION("""COMPUTED_VALUE"""),21.34)</f>
        <v>21.34</v>
      </c>
      <c r="E2705" s="1">
        <f>IFERROR(__xludf.DUMMYFUNCTION("""COMPUTED_VALUE"""),21.7)</f>
        <v>21.7</v>
      </c>
      <c r="F2705" s="1">
        <f>IFERROR(__xludf.DUMMYFUNCTION("""COMPUTED_VALUE"""),344150.0)</f>
        <v>344150</v>
      </c>
    </row>
    <row r="2706">
      <c r="A2706" s="2">
        <f>IFERROR(__xludf.DUMMYFUNCTION("""COMPUTED_VALUE"""),44106.66666666667)</f>
        <v>44106.66667</v>
      </c>
      <c r="B2706" s="1">
        <f>IFERROR(__xludf.DUMMYFUNCTION("""COMPUTED_VALUE"""),21.27)</f>
        <v>21.27</v>
      </c>
      <c r="C2706" s="1">
        <f>IFERROR(__xludf.DUMMYFUNCTION("""COMPUTED_VALUE"""),22.34)</f>
        <v>22.34</v>
      </c>
      <c r="D2706" s="1">
        <f>IFERROR(__xludf.DUMMYFUNCTION("""COMPUTED_VALUE"""),21.27)</f>
        <v>21.27</v>
      </c>
      <c r="E2706" s="1">
        <f>IFERROR(__xludf.DUMMYFUNCTION("""COMPUTED_VALUE"""),22.21)</f>
        <v>22.21</v>
      </c>
      <c r="F2706" s="1">
        <f>IFERROR(__xludf.DUMMYFUNCTION("""COMPUTED_VALUE"""),321213.0)</f>
        <v>321213</v>
      </c>
    </row>
    <row r="2707">
      <c r="A2707" s="2">
        <f>IFERROR(__xludf.DUMMYFUNCTION("""COMPUTED_VALUE"""),44109.66666666667)</f>
        <v>44109.66667</v>
      </c>
      <c r="B2707" s="1">
        <f>IFERROR(__xludf.DUMMYFUNCTION("""COMPUTED_VALUE"""),22.51)</f>
        <v>22.51</v>
      </c>
      <c r="C2707" s="1">
        <f>IFERROR(__xludf.DUMMYFUNCTION("""COMPUTED_VALUE"""),23.4)</f>
        <v>23.4</v>
      </c>
      <c r="D2707" s="1">
        <f>IFERROR(__xludf.DUMMYFUNCTION("""COMPUTED_VALUE"""),22.48)</f>
        <v>22.48</v>
      </c>
      <c r="E2707" s="1">
        <f>IFERROR(__xludf.DUMMYFUNCTION("""COMPUTED_VALUE"""),23.39)</f>
        <v>23.39</v>
      </c>
      <c r="F2707" s="1">
        <f>IFERROR(__xludf.DUMMYFUNCTION("""COMPUTED_VALUE"""),362999.0)</f>
        <v>362999</v>
      </c>
    </row>
    <row r="2708">
      <c r="A2708" s="2">
        <f>IFERROR(__xludf.DUMMYFUNCTION("""COMPUTED_VALUE"""),44110.66666666667)</f>
        <v>44110.66667</v>
      </c>
      <c r="B2708" s="1">
        <f>IFERROR(__xludf.DUMMYFUNCTION("""COMPUTED_VALUE"""),23.68)</f>
        <v>23.68</v>
      </c>
      <c r="C2708" s="1">
        <f>IFERROR(__xludf.DUMMYFUNCTION("""COMPUTED_VALUE"""),24.05)</f>
        <v>24.05</v>
      </c>
      <c r="D2708" s="1">
        <f>IFERROR(__xludf.DUMMYFUNCTION("""COMPUTED_VALUE"""),23.1)</f>
        <v>23.1</v>
      </c>
      <c r="E2708" s="1">
        <f>IFERROR(__xludf.DUMMYFUNCTION("""COMPUTED_VALUE"""),23.16)</f>
        <v>23.16</v>
      </c>
      <c r="F2708" s="1">
        <f>IFERROR(__xludf.DUMMYFUNCTION("""COMPUTED_VALUE"""),476630.0)</f>
        <v>476630</v>
      </c>
    </row>
    <row r="2709">
      <c r="A2709" s="2">
        <f>IFERROR(__xludf.DUMMYFUNCTION("""COMPUTED_VALUE"""),44111.66666666667)</f>
        <v>44111.66667</v>
      </c>
      <c r="B2709" s="1">
        <f>IFERROR(__xludf.DUMMYFUNCTION("""COMPUTED_VALUE"""),23.53)</f>
        <v>23.53</v>
      </c>
      <c r="C2709" s="1">
        <f>IFERROR(__xludf.DUMMYFUNCTION("""COMPUTED_VALUE"""),24.05)</f>
        <v>24.05</v>
      </c>
      <c r="D2709" s="1">
        <f>IFERROR(__xludf.DUMMYFUNCTION("""COMPUTED_VALUE"""),23.42)</f>
        <v>23.42</v>
      </c>
      <c r="E2709" s="1">
        <f>IFERROR(__xludf.DUMMYFUNCTION("""COMPUTED_VALUE"""),23.94)</f>
        <v>23.94</v>
      </c>
      <c r="F2709" s="1">
        <f>IFERROR(__xludf.DUMMYFUNCTION("""COMPUTED_VALUE"""),529137.0)</f>
        <v>529137</v>
      </c>
    </row>
    <row r="2710">
      <c r="A2710" s="2">
        <f>IFERROR(__xludf.DUMMYFUNCTION("""COMPUTED_VALUE"""),44112.66666666667)</f>
        <v>44112.66667</v>
      </c>
      <c r="B2710" s="1">
        <f>IFERROR(__xludf.DUMMYFUNCTION("""COMPUTED_VALUE"""),24.21)</f>
        <v>24.21</v>
      </c>
      <c r="C2710" s="1">
        <f>IFERROR(__xludf.DUMMYFUNCTION("""COMPUTED_VALUE"""),24.21)</f>
        <v>24.21</v>
      </c>
      <c r="D2710" s="1">
        <f>IFERROR(__xludf.DUMMYFUNCTION("""COMPUTED_VALUE"""),23.76)</f>
        <v>23.76</v>
      </c>
      <c r="E2710" s="1">
        <f>IFERROR(__xludf.DUMMYFUNCTION("""COMPUTED_VALUE"""),23.9)</f>
        <v>23.9</v>
      </c>
      <c r="F2710" s="1">
        <f>IFERROR(__xludf.DUMMYFUNCTION("""COMPUTED_VALUE"""),384040.0)</f>
        <v>384040</v>
      </c>
    </row>
    <row r="2711">
      <c r="A2711" s="2">
        <f>IFERROR(__xludf.DUMMYFUNCTION("""COMPUTED_VALUE"""),44113.66666666667)</f>
        <v>44113.66667</v>
      </c>
      <c r="B2711" s="1">
        <f>IFERROR(__xludf.DUMMYFUNCTION("""COMPUTED_VALUE"""),24.11)</f>
        <v>24.11</v>
      </c>
      <c r="C2711" s="1">
        <f>IFERROR(__xludf.DUMMYFUNCTION("""COMPUTED_VALUE"""),24.23)</f>
        <v>24.23</v>
      </c>
      <c r="D2711" s="1">
        <f>IFERROR(__xludf.DUMMYFUNCTION("""COMPUTED_VALUE"""),23.7)</f>
        <v>23.7</v>
      </c>
      <c r="E2711" s="1">
        <f>IFERROR(__xludf.DUMMYFUNCTION("""COMPUTED_VALUE"""),23.83)</f>
        <v>23.83</v>
      </c>
      <c r="F2711" s="1">
        <f>IFERROR(__xludf.DUMMYFUNCTION("""COMPUTED_VALUE"""),196970.0)</f>
        <v>196970</v>
      </c>
    </row>
    <row r="2712">
      <c r="A2712" s="2">
        <f>IFERROR(__xludf.DUMMYFUNCTION("""COMPUTED_VALUE"""),44116.66666666667)</f>
        <v>44116.66667</v>
      </c>
      <c r="B2712" s="1">
        <f>IFERROR(__xludf.DUMMYFUNCTION("""COMPUTED_VALUE"""),23.75)</f>
        <v>23.75</v>
      </c>
      <c r="C2712" s="1">
        <f>IFERROR(__xludf.DUMMYFUNCTION("""COMPUTED_VALUE"""),24.09)</f>
        <v>24.09</v>
      </c>
      <c r="D2712" s="1">
        <f>IFERROR(__xludf.DUMMYFUNCTION("""COMPUTED_VALUE"""),23.73)</f>
        <v>23.73</v>
      </c>
      <c r="E2712" s="1">
        <f>IFERROR(__xludf.DUMMYFUNCTION("""COMPUTED_VALUE"""),24.0)</f>
        <v>24</v>
      </c>
      <c r="F2712" s="1">
        <f>IFERROR(__xludf.DUMMYFUNCTION("""COMPUTED_VALUE"""),255338.0)</f>
        <v>255338</v>
      </c>
    </row>
    <row r="2713">
      <c r="A2713" s="2">
        <f>IFERROR(__xludf.DUMMYFUNCTION("""COMPUTED_VALUE"""),44117.66666666667)</f>
        <v>44117.66667</v>
      </c>
      <c r="B2713" s="1">
        <f>IFERROR(__xludf.DUMMYFUNCTION("""COMPUTED_VALUE"""),23.77)</f>
        <v>23.77</v>
      </c>
      <c r="C2713" s="1">
        <f>IFERROR(__xludf.DUMMYFUNCTION("""COMPUTED_VALUE"""),23.94)</f>
        <v>23.94</v>
      </c>
      <c r="D2713" s="1">
        <f>IFERROR(__xludf.DUMMYFUNCTION("""COMPUTED_VALUE"""),23.16)</f>
        <v>23.16</v>
      </c>
      <c r="E2713" s="1">
        <f>IFERROR(__xludf.DUMMYFUNCTION("""COMPUTED_VALUE"""),23.3)</f>
        <v>23.3</v>
      </c>
      <c r="F2713" s="1">
        <f>IFERROR(__xludf.DUMMYFUNCTION("""COMPUTED_VALUE"""),174591.0)</f>
        <v>174591</v>
      </c>
    </row>
    <row r="2714">
      <c r="A2714" s="2">
        <f>IFERROR(__xludf.DUMMYFUNCTION("""COMPUTED_VALUE"""),44118.66666666667)</f>
        <v>44118.66667</v>
      </c>
      <c r="B2714" s="1">
        <f>IFERROR(__xludf.DUMMYFUNCTION("""COMPUTED_VALUE"""),23.24)</f>
        <v>23.24</v>
      </c>
      <c r="C2714" s="1">
        <f>IFERROR(__xludf.DUMMYFUNCTION("""COMPUTED_VALUE"""),23.5)</f>
        <v>23.5</v>
      </c>
      <c r="D2714" s="1">
        <f>IFERROR(__xludf.DUMMYFUNCTION("""COMPUTED_VALUE"""),22.59)</f>
        <v>22.59</v>
      </c>
      <c r="E2714" s="1">
        <f>IFERROR(__xludf.DUMMYFUNCTION("""COMPUTED_VALUE"""),22.67)</f>
        <v>22.67</v>
      </c>
      <c r="F2714" s="1">
        <f>IFERROR(__xludf.DUMMYFUNCTION("""COMPUTED_VALUE"""),259335.0)</f>
        <v>259335</v>
      </c>
    </row>
    <row r="2715">
      <c r="A2715" s="2">
        <f>IFERROR(__xludf.DUMMYFUNCTION("""COMPUTED_VALUE"""),44119.66666666667)</f>
        <v>44119.66667</v>
      </c>
      <c r="B2715" s="1">
        <f>IFERROR(__xludf.DUMMYFUNCTION("""COMPUTED_VALUE"""),22.12)</f>
        <v>22.12</v>
      </c>
      <c r="C2715" s="1">
        <f>IFERROR(__xludf.DUMMYFUNCTION("""COMPUTED_VALUE"""),23.44)</f>
        <v>23.44</v>
      </c>
      <c r="D2715" s="1">
        <f>IFERROR(__xludf.DUMMYFUNCTION("""COMPUTED_VALUE"""),22.12)</f>
        <v>22.12</v>
      </c>
      <c r="E2715" s="1">
        <f>IFERROR(__xludf.DUMMYFUNCTION("""COMPUTED_VALUE"""),23.43)</f>
        <v>23.43</v>
      </c>
      <c r="F2715" s="1">
        <f>IFERROR(__xludf.DUMMYFUNCTION("""COMPUTED_VALUE"""),286613.0)</f>
        <v>286613</v>
      </c>
    </row>
    <row r="2716">
      <c r="A2716" s="2">
        <f>IFERROR(__xludf.DUMMYFUNCTION("""COMPUTED_VALUE"""),44120.66666666667)</f>
        <v>44120.66667</v>
      </c>
      <c r="B2716" s="1">
        <f>IFERROR(__xludf.DUMMYFUNCTION("""COMPUTED_VALUE"""),23.23)</f>
        <v>23.23</v>
      </c>
      <c r="C2716" s="1">
        <f>IFERROR(__xludf.DUMMYFUNCTION("""COMPUTED_VALUE"""),23.63)</f>
        <v>23.63</v>
      </c>
      <c r="D2716" s="1">
        <f>IFERROR(__xludf.DUMMYFUNCTION("""COMPUTED_VALUE"""),22.94)</f>
        <v>22.94</v>
      </c>
      <c r="E2716" s="1">
        <f>IFERROR(__xludf.DUMMYFUNCTION("""COMPUTED_VALUE"""),23.36)</f>
        <v>23.36</v>
      </c>
      <c r="F2716" s="1">
        <f>IFERROR(__xludf.DUMMYFUNCTION("""COMPUTED_VALUE"""),184999.0)</f>
        <v>184999</v>
      </c>
    </row>
    <row r="2717">
      <c r="A2717" s="2">
        <f>IFERROR(__xludf.DUMMYFUNCTION("""COMPUTED_VALUE"""),44123.66666666667)</f>
        <v>44123.66667</v>
      </c>
      <c r="B2717" s="1">
        <f>IFERROR(__xludf.DUMMYFUNCTION("""COMPUTED_VALUE"""),23.54)</f>
        <v>23.54</v>
      </c>
      <c r="C2717" s="1">
        <f>IFERROR(__xludf.DUMMYFUNCTION("""COMPUTED_VALUE"""),23.62)</f>
        <v>23.62</v>
      </c>
      <c r="D2717" s="1">
        <f>IFERROR(__xludf.DUMMYFUNCTION("""COMPUTED_VALUE"""),22.92)</f>
        <v>22.92</v>
      </c>
      <c r="E2717" s="1">
        <f>IFERROR(__xludf.DUMMYFUNCTION("""COMPUTED_VALUE"""),22.98)</f>
        <v>22.98</v>
      </c>
      <c r="F2717" s="1">
        <f>IFERROR(__xludf.DUMMYFUNCTION("""COMPUTED_VALUE"""),146773.0)</f>
        <v>146773</v>
      </c>
    </row>
    <row r="2718">
      <c r="A2718" s="2">
        <f>IFERROR(__xludf.DUMMYFUNCTION("""COMPUTED_VALUE"""),44124.66666666667)</f>
        <v>44124.66667</v>
      </c>
      <c r="B2718" s="1">
        <f>IFERROR(__xludf.DUMMYFUNCTION("""COMPUTED_VALUE"""),23.27)</f>
        <v>23.27</v>
      </c>
      <c r="C2718" s="1">
        <f>IFERROR(__xludf.DUMMYFUNCTION("""COMPUTED_VALUE"""),23.71)</f>
        <v>23.71</v>
      </c>
      <c r="D2718" s="1">
        <f>IFERROR(__xludf.DUMMYFUNCTION("""COMPUTED_VALUE"""),23.23)</f>
        <v>23.23</v>
      </c>
      <c r="E2718" s="1">
        <f>IFERROR(__xludf.DUMMYFUNCTION("""COMPUTED_VALUE"""),23.31)</f>
        <v>23.31</v>
      </c>
      <c r="F2718" s="1">
        <f>IFERROR(__xludf.DUMMYFUNCTION("""COMPUTED_VALUE"""),201667.0)</f>
        <v>201667</v>
      </c>
    </row>
    <row r="2719">
      <c r="A2719" s="2">
        <f>IFERROR(__xludf.DUMMYFUNCTION("""COMPUTED_VALUE"""),44125.66666666667)</f>
        <v>44125.66667</v>
      </c>
      <c r="B2719" s="1">
        <f>IFERROR(__xludf.DUMMYFUNCTION("""COMPUTED_VALUE"""),23.32)</f>
        <v>23.32</v>
      </c>
      <c r="C2719" s="1">
        <f>IFERROR(__xludf.DUMMYFUNCTION("""COMPUTED_VALUE"""),23.65)</f>
        <v>23.65</v>
      </c>
      <c r="D2719" s="1">
        <f>IFERROR(__xludf.DUMMYFUNCTION("""COMPUTED_VALUE"""),23.32)</f>
        <v>23.32</v>
      </c>
      <c r="E2719" s="1">
        <f>IFERROR(__xludf.DUMMYFUNCTION("""COMPUTED_VALUE"""),23.43)</f>
        <v>23.43</v>
      </c>
      <c r="F2719" s="1">
        <f>IFERROR(__xludf.DUMMYFUNCTION("""COMPUTED_VALUE"""),251140.0)</f>
        <v>251140</v>
      </c>
    </row>
    <row r="2720">
      <c r="A2720" s="2">
        <f>IFERROR(__xludf.DUMMYFUNCTION("""COMPUTED_VALUE"""),44126.66666666667)</f>
        <v>44126.66667</v>
      </c>
      <c r="B2720" s="1">
        <f>IFERROR(__xludf.DUMMYFUNCTION("""COMPUTED_VALUE"""),23.39)</f>
        <v>23.39</v>
      </c>
      <c r="C2720" s="1">
        <f>IFERROR(__xludf.DUMMYFUNCTION("""COMPUTED_VALUE"""),24.41)</f>
        <v>24.41</v>
      </c>
      <c r="D2720" s="1">
        <f>IFERROR(__xludf.DUMMYFUNCTION("""COMPUTED_VALUE"""),23.39)</f>
        <v>23.39</v>
      </c>
      <c r="E2720" s="1">
        <f>IFERROR(__xludf.DUMMYFUNCTION("""COMPUTED_VALUE"""),24.38)</f>
        <v>24.38</v>
      </c>
      <c r="F2720" s="1">
        <f>IFERROR(__xludf.DUMMYFUNCTION("""COMPUTED_VALUE"""),391726.0)</f>
        <v>391726</v>
      </c>
    </row>
    <row r="2721">
      <c r="A2721" s="2">
        <f>IFERROR(__xludf.DUMMYFUNCTION("""COMPUTED_VALUE"""),44127.66666666667)</f>
        <v>44127.66667</v>
      </c>
      <c r="B2721" s="1">
        <f>IFERROR(__xludf.DUMMYFUNCTION("""COMPUTED_VALUE"""),24.5)</f>
        <v>24.5</v>
      </c>
      <c r="C2721" s="1">
        <f>IFERROR(__xludf.DUMMYFUNCTION("""COMPUTED_VALUE"""),24.88)</f>
        <v>24.88</v>
      </c>
      <c r="D2721" s="1">
        <f>IFERROR(__xludf.DUMMYFUNCTION("""COMPUTED_VALUE"""),24.08)</f>
        <v>24.08</v>
      </c>
      <c r="E2721" s="1">
        <f>IFERROR(__xludf.DUMMYFUNCTION("""COMPUTED_VALUE"""),24.23)</f>
        <v>24.23</v>
      </c>
      <c r="F2721" s="1">
        <f>IFERROR(__xludf.DUMMYFUNCTION("""COMPUTED_VALUE"""),240393.0)</f>
        <v>240393</v>
      </c>
    </row>
    <row r="2722">
      <c r="A2722" s="2">
        <f>IFERROR(__xludf.DUMMYFUNCTION("""COMPUTED_VALUE"""),44130.66666666667)</f>
        <v>44130.66667</v>
      </c>
      <c r="B2722" s="1">
        <f>IFERROR(__xludf.DUMMYFUNCTION("""COMPUTED_VALUE"""),23.88)</f>
        <v>23.88</v>
      </c>
      <c r="C2722" s="1">
        <f>IFERROR(__xludf.DUMMYFUNCTION("""COMPUTED_VALUE"""),24.17)</f>
        <v>24.17</v>
      </c>
      <c r="D2722" s="1">
        <f>IFERROR(__xludf.DUMMYFUNCTION("""COMPUTED_VALUE"""),23.52)</f>
        <v>23.52</v>
      </c>
      <c r="E2722" s="1">
        <f>IFERROR(__xludf.DUMMYFUNCTION("""COMPUTED_VALUE"""),24.08)</f>
        <v>24.08</v>
      </c>
      <c r="F2722" s="1">
        <f>IFERROR(__xludf.DUMMYFUNCTION("""COMPUTED_VALUE"""),338382.0)</f>
        <v>338382</v>
      </c>
    </row>
    <row r="2723">
      <c r="A2723" s="2">
        <f>IFERROR(__xludf.DUMMYFUNCTION("""COMPUTED_VALUE"""),44131.66666666667)</f>
        <v>44131.66667</v>
      </c>
      <c r="B2723" s="1">
        <f>IFERROR(__xludf.DUMMYFUNCTION("""COMPUTED_VALUE"""),24.87)</f>
        <v>24.87</v>
      </c>
      <c r="C2723" s="1">
        <f>IFERROR(__xludf.DUMMYFUNCTION("""COMPUTED_VALUE"""),24.87)</f>
        <v>24.87</v>
      </c>
      <c r="D2723" s="1">
        <f>IFERROR(__xludf.DUMMYFUNCTION("""COMPUTED_VALUE"""),23.28)</f>
        <v>23.28</v>
      </c>
      <c r="E2723" s="1">
        <f>IFERROR(__xludf.DUMMYFUNCTION("""COMPUTED_VALUE"""),23.34)</f>
        <v>23.34</v>
      </c>
      <c r="F2723" s="1">
        <f>IFERROR(__xludf.DUMMYFUNCTION("""COMPUTED_VALUE"""),572354.0)</f>
        <v>572354</v>
      </c>
    </row>
    <row r="2724">
      <c r="A2724" s="2">
        <f>IFERROR(__xludf.DUMMYFUNCTION("""COMPUTED_VALUE"""),44132.66666666667)</f>
        <v>44132.66667</v>
      </c>
      <c r="B2724" s="1">
        <f>IFERROR(__xludf.DUMMYFUNCTION("""COMPUTED_VALUE"""),23.05)</f>
        <v>23.05</v>
      </c>
      <c r="C2724" s="1">
        <f>IFERROR(__xludf.DUMMYFUNCTION("""COMPUTED_VALUE"""),23.58)</f>
        <v>23.58</v>
      </c>
      <c r="D2724" s="1">
        <f>IFERROR(__xludf.DUMMYFUNCTION("""COMPUTED_VALUE"""),22.88)</f>
        <v>22.88</v>
      </c>
      <c r="E2724" s="1">
        <f>IFERROR(__xludf.DUMMYFUNCTION("""COMPUTED_VALUE"""),23.02)</f>
        <v>23.02</v>
      </c>
      <c r="F2724" s="1">
        <f>IFERROR(__xludf.DUMMYFUNCTION("""COMPUTED_VALUE"""),316432.0)</f>
        <v>316432</v>
      </c>
    </row>
    <row r="2725">
      <c r="A2725" s="2">
        <f>IFERROR(__xludf.DUMMYFUNCTION("""COMPUTED_VALUE"""),44133.66666666667)</f>
        <v>44133.66667</v>
      </c>
      <c r="B2725" s="1">
        <f>IFERROR(__xludf.DUMMYFUNCTION("""COMPUTED_VALUE"""),22.86)</f>
        <v>22.86</v>
      </c>
      <c r="C2725" s="1">
        <f>IFERROR(__xludf.DUMMYFUNCTION("""COMPUTED_VALUE"""),23.38)</f>
        <v>23.38</v>
      </c>
      <c r="D2725" s="1">
        <f>IFERROR(__xludf.DUMMYFUNCTION("""COMPUTED_VALUE"""),22.39)</f>
        <v>22.39</v>
      </c>
      <c r="E2725" s="1">
        <f>IFERROR(__xludf.DUMMYFUNCTION("""COMPUTED_VALUE"""),23.29)</f>
        <v>23.29</v>
      </c>
      <c r="F2725" s="1">
        <f>IFERROR(__xludf.DUMMYFUNCTION("""COMPUTED_VALUE"""),313324.0)</f>
        <v>313324</v>
      </c>
    </row>
    <row r="2726">
      <c r="A2726" s="2">
        <f>IFERROR(__xludf.DUMMYFUNCTION("""COMPUTED_VALUE"""),44134.66666666667)</f>
        <v>44134.66667</v>
      </c>
      <c r="B2726" s="1">
        <f>IFERROR(__xludf.DUMMYFUNCTION("""COMPUTED_VALUE"""),22.5)</f>
        <v>22.5</v>
      </c>
      <c r="C2726" s="1">
        <f>IFERROR(__xludf.DUMMYFUNCTION("""COMPUTED_VALUE"""),23.68)</f>
        <v>23.68</v>
      </c>
      <c r="D2726" s="1">
        <f>IFERROR(__xludf.DUMMYFUNCTION("""COMPUTED_VALUE"""),22.5)</f>
        <v>22.5</v>
      </c>
      <c r="E2726" s="1">
        <f>IFERROR(__xludf.DUMMYFUNCTION("""COMPUTED_VALUE"""),23.53)</f>
        <v>23.53</v>
      </c>
      <c r="F2726" s="1">
        <f>IFERROR(__xludf.DUMMYFUNCTION("""COMPUTED_VALUE"""),382134.0)</f>
        <v>382134</v>
      </c>
    </row>
    <row r="2727">
      <c r="A2727" s="2">
        <f>IFERROR(__xludf.DUMMYFUNCTION("""COMPUTED_VALUE"""),44137.66666666667)</f>
        <v>44137.66667</v>
      </c>
      <c r="B2727" s="1">
        <f>IFERROR(__xludf.DUMMYFUNCTION("""COMPUTED_VALUE"""),23.9)</f>
        <v>23.9</v>
      </c>
      <c r="C2727" s="1">
        <f>IFERROR(__xludf.DUMMYFUNCTION("""COMPUTED_VALUE"""),24.5)</f>
        <v>24.5</v>
      </c>
      <c r="D2727" s="1">
        <f>IFERROR(__xludf.DUMMYFUNCTION("""COMPUTED_VALUE"""),23.6)</f>
        <v>23.6</v>
      </c>
      <c r="E2727" s="1">
        <f>IFERROR(__xludf.DUMMYFUNCTION("""COMPUTED_VALUE"""),24.34)</f>
        <v>24.34</v>
      </c>
      <c r="F2727" s="1">
        <f>IFERROR(__xludf.DUMMYFUNCTION("""COMPUTED_VALUE"""),375615.0)</f>
        <v>375615</v>
      </c>
    </row>
    <row r="2728">
      <c r="A2728" s="2">
        <f>IFERROR(__xludf.DUMMYFUNCTION("""COMPUTED_VALUE"""),44138.66666666667)</f>
        <v>44138.66667</v>
      </c>
      <c r="B2728" s="1">
        <f>IFERROR(__xludf.DUMMYFUNCTION("""COMPUTED_VALUE"""),24.8)</f>
        <v>24.8</v>
      </c>
      <c r="C2728" s="1">
        <f>IFERROR(__xludf.DUMMYFUNCTION("""COMPUTED_VALUE"""),25.43)</f>
        <v>25.43</v>
      </c>
      <c r="D2728" s="1">
        <f>IFERROR(__xludf.DUMMYFUNCTION("""COMPUTED_VALUE"""),24.68)</f>
        <v>24.68</v>
      </c>
      <c r="E2728" s="1">
        <f>IFERROR(__xludf.DUMMYFUNCTION("""COMPUTED_VALUE"""),25.29)</f>
        <v>25.29</v>
      </c>
      <c r="F2728" s="1">
        <f>IFERROR(__xludf.DUMMYFUNCTION("""COMPUTED_VALUE"""),470096.0)</f>
        <v>470096</v>
      </c>
    </row>
    <row r="2729">
      <c r="A2729" s="2">
        <f>IFERROR(__xludf.DUMMYFUNCTION("""COMPUTED_VALUE"""),44139.66666666667)</f>
        <v>44139.66667</v>
      </c>
      <c r="B2729" s="1">
        <f>IFERROR(__xludf.DUMMYFUNCTION("""COMPUTED_VALUE"""),24.68)</f>
        <v>24.68</v>
      </c>
      <c r="C2729" s="1">
        <f>IFERROR(__xludf.DUMMYFUNCTION("""COMPUTED_VALUE"""),25.1)</f>
        <v>25.1</v>
      </c>
      <c r="D2729" s="1">
        <f>IFERROR(__xludf.DUMMYFUNCTION("""COMPUTED_VALUE"""),23.11)</f>
        <v>23.11</v>
      </c>
      <c r="E2729" s="1">
        <f>IFERROR(__xludf.DUMMYFUNCTION("""COMPUTED_VALUE"""),23.16)</f>
        <v>23.16</v>
      </c>
      <c r="F2729" s="1">
        <f>IFERROR(__xludf.DUMMYFUNCTION("""COMPUTED_VALUE"""),532125.0)</f>
        <v>532125</v>
      </c>
    </row>
    <row r="2730">
      <c r="A2730" s="2">
        <f>IFERROR(__xludf.DUMMYFUNCTION("""COMPUTED_VALUE"""),44140.66666666667)</f>
        <v>44140.66667</v>
      </c>
      <c r="B2730" s="1">
        <f>IFERROR(__xludf.DUMMYFUNCTION("""COMPUTED_VALUE"""),23.51)</f>
        <v>23.51</v>
      </c>
      <c r="C2730" s="1">
        <f>IFERROR(__xludf.DUMMYFUNCTION("""COMPUTED_VALUE"""),24.16)</f>
        <v>24.16</v>
      </c>
      <c r="D2730" s="1">
        <f>IFERROR(__xludf.DUMMYFUNCTION("""COMPUTED_VALUE"""),23.51)</f>
        <v>23.51</v>
      </c>
      <c r="E2730" s="1">
        <f>IFERROR(__xludf.DUMMYFUNCTION("""COMPUTED_VALUE"""),23.88)</f>
        <v>23.88</v>
      </c>
      <c r="F2730" s="1">
        <f>IFERROR(__xludf.DUMMYFUNCTION("""COMPUTED_VALUE"""),378878.0)</f>
        <v>378878</v>
      </c>
    </row>
    <row r="2731">
      <c r="A2731" s="2">
        <f>IFERROR(__xludf.DUMMYFUNCTION("""COMPUTED_VALUE"""),44141.66666666667)</f>
        <v>44141.66667</v>
      </c>
      <c r="B2731" s="1">
        <f>IFERROR(__xludf.DUMMYFUNCTION("""COMPUTED_VALUE"""),24.17)</f>
        <v>24.17</v>
      </c>
      <c r="C2731" s="1">
        <f>IFERROR(__xludf.DUMMYFUNCTION("""COMPUTED_VALUE"""),24.32)</f>
        <v>24.32</v>
      </c>
      <c r="D2731" s="1">
        <f>IFERROR(__xludf.DUMMYFUNCTION("""COMPUTED_VALUE"""),23.55)</f>
        <v>23.55</v>
      </c>
      <c r="E2731" s="1">
        <f>IFERROR(__xludf.DUMMYFUNCTION("""COMPUTED_VALUE"""),23.61)</f>
        <v>23.61</v>
      </c>
      <c r="F2731" s="1">
        <f>IFERROR(__xludf.DUMMYFUNCTION("""COMPUTED_VALUE"""),239235.0)</f>
        <v>239235</v>
      </c>
    </row>
    <row r="2732">
      <c r="A2732" s="2">
        <f>IFERROR(__xludf.DUMMYFUNCTION("""COMPUTED_VALUE"""),44144.66666666667)</f>
        <v>44144.66667</v>
      </c>
      <c r="B2732" s="1">
        <f>IFERROR(__xludf.DUMMYFUNCTION("""COMPUTED_VALUE"""),25.52)</f>
        <v>25.52</v>
      </c>
      <c r="C2732" s="1">
        <f>IFERROR(__xludf.DUMMYFUNCTION("""COMPUTED_VALUE"""),27.72)</f>
        <v>27.72</v>
      </c>
      <c r="D2732" s="1">
        <f>IFERROR(__xludf.DUMMYFUNCTION("""COMPUTED_VALUE"""),25.47)</f>
        <v>25.47</v>
      </c>
      <c r="E2732" s="1">
        <f>IFERROR(__xludf.DUMMYFUNCTION("""COMPUTED_VALUE"""),27.02)</f>
        <v>27.02</v>
      </c>
      <c r="F2732" s="1">
        <f>IFERROR(__xludf.DUMMYFUNCTION("""COMPUTED_VALUE"""),640187.0)</f>
        <v>640187</v>
      </c>
    </row>
    <row r="2733">
      <c r="A2733" s="2">
        <f>IFERROR(__xludf.DUMMYFUNCTION("""COMPUTED_VALUE"""),44145.66666666667)</f>
        <v>44145.66667</v>
      </c>
      <c r="B2733" s="1">
        <f>IFERROR(__xludf.DUMMYFUNCTION("""COMPUTED_VALUE"""),27.32)</f>
        <v>27.32</v>
      </c>
      <c r="C2733" s="1">
        <f>IFERROR(__xludf.DUMMYFUNCTION("""COMPUTED_VALUE"""),28.46)</f>
        <v>28.46</v>
      </c>
      <c r="D2733" s="1">
        <f>IFERROR(__xludf.DUMMYFUNCTION("""COMPUTED_VALUE"""),26.87)</f>
        <v>26.87</v>
      </c>
      <c r="E2733" s="1">
        <f>IFERROR(__xludf.DUMMYFUNCTION("""COMPUTED_VALUE"""),28.35)</f>
        <v>28.35</v>
      </c>
      <c r="F2733" s="1">
        <f>IFERROR(__xludf.DUMMYFUNCTION("""COMPUTED_VALUE"""),788586.0)</f>
        <v>788586</v>
      </c>
    </row>
    <row r="2734">
      <c r="A2734" s="2">
        <f>IFERROR(__xludf.DUMMYFUNCTION("""COMPUTED_VALUE"""),44146.66666666667)</f>
        <v>44146.66667</v>
      </c>
      <c r="B2734" s="1">
        <f>IFERROR(__xludf.DUMMYFUNCTION("""COMPUTED_VALUE"""),28.43)</f>
        <v>28.43</v>
      </c>
      <c r="C2734" s="1">
        <f>IFERROR(__xludf.DUMMYFUNCTION("""COMPUTED_VALUE"""),28.47)</f>
        <v>28.47</v>
      </c>
      <c r="D2734" s="1">
        <f>IFERROR(__xludf.DUMMYFUNCTION("""COMPUTED_VALUE"""),26.87)</f>
        <v>26.87</v>
      </c>
      <c r="E2734" s="1">
        <f>IFERROR(__xludf.DUMMYFUNCTION("""COMPUTED_VALUE"""),27.44)</f>
        <v>27.44</v>
      </c>
      <c r="F2734" s="1">
        <f>IFERROR(__xludf.DUMMYFUNCTION("""COMPUTED_VALUE"""),554482.0)</f>
        <v>554482</v>
      </c>
    </row>
    <row r="2735">
      <c r="A2735" s="2">
        <f>IFERROR(__xludf.DUMMYFUNCTION("""COMPUTED_VALUE"""),44147.66666666667)</f>
        <v>44147.66667</v>
      </c>
      <c r="B2735" s="1">
        <f>IFERROR(__xludf.DUMMYFUNCTION("""COMPUTED_VALUE"""),26.7)</f>
        <v>26.7</v>
      </c>
      <c r="C2735" s="1">
        <f>IFERROR(__xludf.DUMMYFUNCTION("""COMPUTED_VALUE"""),27.29)</f>
        <v>27.29</v>
      </c>
      <c r="D2735" s="1">
        <f>IFERROR(__xludf.DUMMYFUNCTION("""COMPUTED_VALUE"""),26.43)</f>
        <v>26.43</v>
      </c>
      <c r="E2735" s="1">
        <f>IFERROR(__xludf.DUMMYFUNCTION("""COMPUTED_VALUE"""),27.25)</f>
        <v>27.25</v>
      </c>
      <c r="F2735" s="1">
        <f>IFERROR(__xludf.DUMMYFUNCTION("""COMPUTED_VALUE"""),539601.0)</f>
        <v>539601</v>
      </c>
    </row>
    <row r="2736">
      <c r="A2736" s="2">
        <f>IFERROR(__xludf.DUMMYFUNCTION("""COMPUTED_VALUE"""),44148.66666666667)</f>
        <v>44148.66667</v>
      </c>
      <c r="B2736" s="1">
        <f>IFERROR(__xludf.DUMMYFUNCTION("""COMPUTED_VALUE"""),27.59)</f>
        <v>27.59</v>
      </c>
      <c r="C2736" s="1">
        <f>IFERROR(__xludf.DUMMYFUNCTION("""COMPUTED_VALUE"""),27.97)</f>
        <v>27.97</v>
      </c>
      <c r="D2736" s="1">
        <f>IFERROR(__xludf.DUMMYFUNCTION("""COMPUTED_VALUE"""),27.12)</f>
        <v>27.12</v>
      </c>
      <c r="E2736" s="1">
        <f>IFERROR(__xludf.DUMMYFUNCTION("""COMPUTED_VALUE"""),27.62)</f>
        <v>27.62</v>
      </c>
      <c r="F2736" s="1">
        <f>IFERROR(__xludf.DUMMYFUNCTION("""COMPUTED_VALUE"""),274306.0)</f>
        <v>274306</v>
      </c>
    </row>
    <row r="2737">
      <c r="A2737" s="2">
        <f>IFERROR(__xludf.DUMMYFUNCTION("""COMPUTED_VALUE"""),44151.66666666667)</f>
        <v>44151.66667</v>
      </c>
      <c r="B2737" s="1">
        <f>IFERROR(__xludf.DUMMYFUNCTION("""COMPUTED_VALUE"""),28.8)</f>
        <v>28.8</v>
      </c>
      <c r="C2737" s="1">
        <f>IFERROR(__xludf.DUMMYFUNCTION("""COMPUTED_VALUE"""),29.35)</f>
        <v>29.35</v>
      </c>
      <c r="D2737" s="1">
        <f>IFERROR(__xludf.DUMMYFUNCTION("""COMPUTED_VALUE"""),28.05)</f>
        <v>28.05</v>
      </c>
      <c r="E2737" s="1">
        <f>IFERROR(__xludf.DUMMYFUNCTION("""COMPUTED_VALUE"""),29.33)</f>
        <v>29.33</v>
      </c>
      <c r="F2737" s="1">
        <f>IFERROR(__xludf.DUMMYFUNCTION("""COMPUTED_VALUE"""),299448.0)</f>
        <v>299448</v>
      </c>
    </row>
    <row r="2738">
      <c r="A2738" s="2">
        <f>IFERROR(__xludf.DUMMYFUNCTION("""COMPUTED_VALUE"""),44152.66666666667)</f>
        <v>44152.66667</v>
      </c>
      <c r="B2738" s="1">
        <f>IFERROR(__xludf.DUMMYFUNCTION("""COMPUTED_VALUE"""),28.58)</f>
        <v>28.58</v>
      </c>
      <c r="C2738" s="1">
        <f>IFERROR(__xludf.DUMMYFUNCTION("""COMPUTED_VALUE"""),29.64)</f>
        <v>29.64</v>
      </c>
      <c r="D2738" s="1">
        <f>IFERROR(__xludf.DUMMYFUNCTION("""COMPUTED_VALUE"""),27.36)</f>
        <v>27.36</v>
      </c>
      <c r="E2738" s="1">
        <f>IFERROR(__xludf.DUMMYFUNCTION("""COMPUTED_VALUE"""),29.6)</f>
        <v>29.6</v>
      </c>
      <c r="F2738" s="1">
        <f>IFERROR(__xludf.DUMMYFUNCTION("""COMPUTED_VALUE"""),409518.0)</f>
        <v>409518</v>
      </c>
    </row>
    <row r="2739">
      <c r="A2739" s="2">
        <f>IFERROR(__xludf.DUMMYFUNCTION("""COMPUTED_VALUE"""),44153.66666666667)</f>
        <v>44153.66667</v>
      </c>
      <c r="B2739" s="1">
        <f>IFERROR(__xludf.DUMMYFUNCTION("""COMPUTED_VALUE"""),29.73)</f>
        <v>29.73</v>
      </c>
      <c r="C2739" s="1">
        <f>IFERROR(__xludf.DUMMYFUNCTION("""COMPUTED_VALUE"""),30.18)</f>
        <v>30.18</v>
      </c>
      <c r="D2739" s="1">
        <f>IFERROR(__xludf.DUMMYFUNCTION("""COMPUTED_VALUE"""),29.16)</f>
        <v>29.16</v>
      </c>
      <c r="E2739" s="1">
        <f>IFERROR(__xludf.DUMMYFUNCTION("""COMPUTED_VALUE"""),29.21)</f>
        <v>29.21</v>
      </c>
      <c r="F2739" s="1">
        <f>IFERROR(__xludf.DUMMYFUNCTION("""COMPUTED_VALUE"""),407646.0)</f>
        <v>407646</v>
      </c>
    </row>
    <row r="2740">
      <c r="A2740" s="2">
        <f>IFERROR(__xludf.DUMMYFUNCTION("""COMPUTED_VALUE"""),44154.66666666667)</f>
        <v>44154.66667</v>
      </c>
      <c r="B2740" s="1">
        <f>IFERROR(__xludf.DUMMYFUNCTION("""COMPUTED_VALUE"""),28.97)</f>
        <v>28.97</v>
      </c>
      <c r="C2740" s="1">
        <f>IFERROR(__xludf.DUMMYFUNCTION("""COMPUTED_VALUE"""),29.11)</f>
        <v>29.11</v>
      </c>
      <c r="D2740" s="1">
        <f>IFERROR(__xludf.DUMMYFUNCTION("""COMPUTED_VALUE"""),28.03)</f>
        <v>28.03</v>
      </c>
      <c r="E2740" s="1">
        <f>IFERROR(__xludf.DUMMYFUNCTION("""COMPUTED_VALUE"""),29.04)</f>
        <v>29.04</v>
      </c>
      <c r="F2740" s="1">
        <f>IFERROR(__xludf.DUMMYFUNCTION("""COMPUTED_VALUE"""),256280.0)</f>
        <v>256280</v>
      </c>
    </row>
    <row r="2741">
      <c r="A2741" s="2">
        <f>IFERROR(__xludf.DUMMYFUNCTION("""COMPUTED_VALUE"""),44155.66666666667)</f>
        <v>44155.66667</v>
      </c>
      <c r="B2741" s="1">
        <f>IFERROR(__xludf.DUMMYFUNCTION("""COMPUTED_VALUE"""),28.47)</f>
        <v>28.47</v>
      </c>
      <c r="C2741" s="1">
        <f>IFERROR(__xludf.DUMMYFUNCTION("""COMPUTED_VALUE"""),29.04)</f>
        <v>29.04</v>
      </c>
      <c r="D2741" s="1">
        <f>IFERROR(__xludf.DUMMYFUNCTION("""COMPUTED_VALUE"""),28.22)</f>
        <v>28.22</v>
      </c>
      <c r="E2741" s="1">
        <f>IFERROR(__xludf.DUMMYFUNCTION("""COMPUTED_VALUE"""),28.75)</f>
        <v>28.75</v>
      </c>
      <c r="F2741" s="1">
        <f>IFERROR(__xludf.DUMMYFUNCTION("""COMPUTED_VALUE"""),283411.0)</f>
        <v>283411</v>
      </c>
    </row>
    <row r="2742">
      <c r="A2742" s="2">
        <f>IFERROR(__xludf.DUMMYFUNCTION("""COMPUTED_VALUE"""),44158.66666666667)</f>
        <v>44158.66667</v>
      </c>
      <c r="B2742" s="1">
        <f>IFERROR(__xludf.DUMMYFUNCTION("""COMPUTED_VALUE"""),29.19)</f>
        <v>29.19</v>
      </c>
      <c r="C2742" s="1">
        <f>IFERROR(__xludf.DUMMYFUNCTION("""COMPUTED_VALUE"""),29.54)</f>
        <v>29.54</v>
      </c>
      <c r="D2742" s="1">
        <f>IFERROR(__xludf.DUMMYFUNCTION("""COMPUTED_VALUE"""),28.78)</f>
        <v>28.78</v>
      </c>
      <c r="E2742" s="1">
        <f>IFERROR(__xludf.DUMMYFUNCTION("""COMPUTED_VALUE"""),29.2)</f>
        <v>29.2</v>
      </c>
      <c r="F2742" s="1">
        <f>IFERROR(__xludf.DUMMYFUNCTION("""COMPUTED_VALUE"""),445866.0)</f>
        <v>445866</v>
      </c>
    </row>
    <row r="2743">
      <c r="A2743" s="2">
        <f>IFERROR(__xludf.DUMMYFUNCTION("""COMPUTED_VALUE"""),44159.66666666667)</f>
        <v>44159.66667</v>
      </c>
      <c r="B2743" s="1">
        <f>IFERROR(__xludf.DUMMYFUNCTION("""COMPUTED_VALUE"""),29.9)</f>
        <v>29.9</v>
      </c>
      <c r="C2743" s="1">
        <f>IFERROR(__xludf.DUMMYFUNCTION("""COMPUTED_VALUE"""),31.17)</f>
        <v>31.17</v>
      </c>
      <c r="D2743" s="1">
        <f>IFERROR(__xludf.DUMMYFUNCTION("""COMPUTED_VALUE"""),29.83)</f>
        <v>29.83</v>
      </c>
      <c r="E2743" s="1">
        <f>IFERROR(__xludf.DUMMYFUNCTION("""COMPUTED_VALUE"""),31.15)</f>
        <v>31.15</v>
      </c>
      <c r="F2743" s="1">
        <f>IFERROR(__xludf.DUMMYFUNCTION("""COMPUTED_VALUE"""),566583.0)</f>
        <v>566583</v>
      </c>
    </row>
    <row r="2744">
      <c r="A2744" s="2">
        <f>IFERROR(__xludf.DUMMYFUNCTION("""COMPUTED_VALUE"""),44160.66666666667)</f>
        <v>44160.66667</v>
      </c>
      <c r="B2744" s="1">
        <f>IFERROR(__xludf.DUMMYFUNCTION("""COMPUTED_VALUE"""),30.72)</f>
        <v>30.72</v>
      </c>
      <c r="C2744" s="1">
        <f>IFERROR(__xludf.DUMMYFUNCTION("""COMPUTED_VALUE"""),30.81)</f>
        <v>30.81</v>
      </c>
      <c r="D2744" s="1">
        <f>IFERROR(__xludf.DUMMYFUNCTION("""COMPUTED_VALUE"""),29.6)</f>
        <v>29.6</v>
      </c>
      <c r="E2744" s="1">
        <f>IFERROR(__xludf.DUMMYFUNCTION("""COMPUTED_VALUE"""),30.76)</f>
        <v>30.76</v>
      </c>
      <c r="F2744" s="1">
        <f>IFERROR(__xludf.DUMMYFUNCTION("""COMPUTED_VALUE"""),294884.0)</f>
        <v>294884</v>
      </c>
    </row>
    <row r="2745">
      <c r="A2745" s="2">
        <f>IFERROR(__xludf.DUMMYFUNCTION("""COMPUTED_VALUE"""),44162.54166666667)</f>
        <v>44162.54167</v>
      </c>
      <c r="B2745" s="1">
        <f>IFERROR(__xludf.DUMMYFUNCTION("""COMPUTED_VALUE"""),30.51)</f>
        <v>30.51</v>
      </c>
      <c r="C2745" s="1">
        <f>IFERROR(__xludf.DUMMYFUNCTION("""COMPUTED_VALUE"""),30.71)</f>
        <v>30.71</v>
      </c>
      <c r="D2745" s="1">
        <f>IFERROR(__xludf.DUMMYFUNCTION("""COMPUTED_VALUE"""),30.04)</f>
        <v>30.04</v>
      </c>
      <c r="E2745" s="1">
        <f>IFERROR(__xludf.DUMMYFUNCTION("""COMPUTED_VALUE"""),30.38)</f>
        <v>30.38</v>
      </c>
      <c r="F2745" s="1">
        <f>IFERROR(__xludf.DUMMYFUNCTION("""COMPUTED_VALUE"""),297949.0)</f>
        <v>297949</v>
      </c>
    </row>
    <row r="2746">
      <c r="A2746" s="2">
        <f>IFERROR(__xludf.DUMMYFUNCTION("""COMPUTED_VALUE"""),44165.66666666667)</f>
        <v>44165.66667</v>
      </c>
      <c r="B2746" s="1">
        <f>IFERROR(__xludf.DUMMYFUNCTION("""COMPUTED_VALUE"""),29.38)</f>
        <v>29.38</v>
      </c>
      <c r="C2746" s="1">
        <f>IFERROR(__xludf.DUMMYFUNCTION("""COMPUTED_VALUE"""),29.62)</f>
        <v>29.62</v>
      </c>
      <c r="D2746" s="1">
        <f>IFERROR(__xludf.DUMMYFUNCTION("""COMPUTED_VALUE"""),28.1)</f>
        <v>28.1</v>
      </c>
      <c r="E2746" s="1">
        <f>IFERROR(__xludf.DUMMYFUNCTION("""COMPUTED_VALUE"""),28.25)</f>
        <v>28.25</v>
      </c>
      <c r="F2746" s="1">
        <f>IFERROR(__xludf.DUMMYFUNCTION("""COMPUTED_VALUE"""),699790.0)</f>
        <v>699790</v>
      </c>
    </row>
    <row r="2747">
      <c r="A2747" s="2">
        <f>IFERROR(__xludf.DUMMYFUNCTION("""COMPUTED_VALUE"""),44166.66666666667)</f>
        <v>44166.66667</v>
      </c>
      <c r="B2747" s="1">
        <f>IFERROR(__xludf.DUMMYFUNCTION("""COMPUTED_VALUE"""),28.87)</f>
        <v>28.87</v>
      </c>
      <c r="C2747" s="1">
        <f>IFERROR(__xludf.DUMMYFUNCTION("""COMPUTED_VALUE"""),29.23)</f>
        <v>29.23</v>
      </c>
      <c r="D2747" s="1">
        <f>IFERROR(__xludf.DUMMYFUNCTION("""COMPUTED_VALUE"""),28.12)</f>
        <v>28.12</v>
      </c>
      <c r="E2747" s="1">
        <f>IFERROR(__xludf.DUMMYFUNCTION("""COMPUTED_VALUE"""),28.66)</f>
        <v>28.66</v>
      </c>
      <c r="F2747" s="1">
        <f>IFERROR(__xludf.DUMMYFUNCTION("""COMPUTED_VALUE"""),576804.0)</f>
        <v>576804</v>
      </c>
    </row>
    <row r="2748">
      <c r="A2748" s="2">
        <f>IFERROR(__xludf.DUMMYFUNCTION("""COMPUTED_VALUE"""),44167.66666666667)</f>
        <v>44167.66667</v>
      </c>
      <c r="B2748" s="1">
        <f>IFERROR(__xludf.DUMMYFUNCTION("""COMPUTED_VALUE"""),28.57)</f>
        <v>28.57</v>
      </c>
      <c r="C2748" s="1">
        <f>IFERROR(__xludf.DUMMYFUNCTION("""COMPUTED_VALUE"""),29.25)</f>
        <v>29.25</v>
      </c>
      <c r="D2748" s="1">
        <f>IFERROR(__xludf.DUMMYFUNCTION("""COMPUTED_VALUE"""),28.27)</f>
        <v>28.27</v>
      </c>
      <c r="E2748" s="1">
        <f>IFERROR(__xludf.DUMMYFUNCTION("""COMPUTED_VALUE"""),29.05)</f>
        <v>29.05</v>
      </c>
      <c r="F2748" s="1">
        <f>IFERROR(__xludf.DUMMYFUNCTION("""COMPUTED_VALUE"""),276708.0)</f>
        <v>276708</v>
      </c>
    </row>
    <row r="2749">
      <c r="A2749" s="2">
        <f>IFERROR(__xludf.DUMMYFUNCTION("""COMPUTED_VALUE"""),44168.66666666667)</f>
        <v>44168.66667</v>
      </c>
      <c r="B2749" s="1">
        <f>IFERROR(__xludf.DUMMYFUNCTION("""COMPUTED_VALUE"""),29.28)</f>
        <v>29.28</v>
      </c>
      <c r="C2749" s="1">
        <f>IFERROR(__xludf.DUMMYFUNCTION("""COMPUTED_VALUE"""),29.71)</f>
        <v>29.71</v>
      </c>
      <c r="D2749" s="1">
        <f>IFERROR(__xludf.DUMMYFUNCTION("""COMPUTED_VALUE"""),28.6)</f>
        <v>28.6</v>
      </c>
      <c r="E2749" s="1">
        <f>IFERROR(__xludf.DUMMYFUNCTION("""COMPUTED_VALUE"""),29.42)</f>
        <v>29.42</v>
      </c>
      <c r="F2749" s="1">
        <f>IFERROR(__xludf.DUMMYFUNCTION("""COMPUTED_VALUE"""),457639.0)</f>
        <v>457639</v>
      </c>
    </row>
    <row r="2750">
      <c r="A2750" s="2">
        <f>IFERROR(__xludf.DUMMYFUNCTION("""COMPUTED_VALUE"""),44169.66666666667)</f>
        <v>44169.66667</v>
      </c>
      <c r="B2750" s="1">
        <f>IFERROR(__xludf.DUMMYFUNCTION("""COMPUTED_VALUE"""),29.59)</f>
        <v>29.59</v>
      </c>
      <c r="C2750" s="1">
        <f>IFERROR(__xludf.DUMMYFUNCTION("""COMPUTED_VALUE"""),30.49)</f>
        <v>30.49</v>
      </c>
      <c r="D2750" s="1">
        <f>IFERROR(__xludf.DUMMYFUNCTION("""COMPUTED_VALUE"""),29.59)</f>
        <v>29.59</v>
      </c>
      <c r="E2750" s="1">
        <f>IFERROR(__xludf.DUMMYFUNCTION("""COMPUTED_VALUE"""),30.48)</f>
        <v>30.48</v>
      </c>
      <c r="F2750" s="1">
        <f>IFERROR(__xludf.DUMMYFUNCTION("""COMPUTED_VALUE"""),298017.0)</f>
        <v>298017</v>
      </c>
    </row>
    <row r="2751">
      <c r="A2751" s="2">
        <f>IFERROR(__xludf.DUMMYFUNCTION("""COMPUTED_VALUE"""),44172.66666666667)</f>
        <v>44172.66667</v>
      </c>
      <c r="B2751" s="1">
        <f>IFERROR(__xludf.DUMMYFUNCTION("""COMPUTED_VALUE"""),30.39)</f>
        <v>30.39</v>
      </c>
      <c r="C2751" s="1">
        <f>IFERROR(__xludf.DUMMYFUNCTION("""COMPUTED_VALUE"""),30.63)</f>
        <v>30.63</v>
      </c>
      <c r="D2751" s="1">
        <f>IFERROR(__xludf.DUMMYFUNCTION("""COMPUTED_VALUE"""),29.72)</f>
        <v>29.72</v>
      </c>
      <c r="E2751" s="1">
        <f>IFERROR(__xludf.DUMMYFUNCTION("""COMPUTED_VALUE"""),30.1)</f>
        <v>30.1</v>
      </c>
      <c r="F2751" s="1">
        <f>IFERROR(__xludf.DUMMYFUNCTION("""COMPUTED_VALUE"""),541121.0)</f>
        <v>541121</v>
      </c>
    </row>
    <row r="2752">
      <c r="A2752" s="2">
        <f>IFERROR(__xludf.DUMMYFUNCTION("""COMPUTED_VALUE"""),44173.66666666667)</f>
        <v>44173.66667</v>
      </c>
      <c r="B2752" s="1">
        <f>IFERROR(__xludf.DUMMYFUNCTION("""COMPUTED_VALUE"""),29.61)</f>
        <v>29.61</v>
      </c>
      <c r="C2752" s="1">
        <f>IFERROR(__xludf.DUMMYFUNCTION("""COMPUTED_VALUE"""),30.27)</f>
        <v>30.27</v>
      </c>
      <c r="D2752" s="1">
        <f>IFERROR(__xludf.DUMMYFUNCTION("""COMPUTED_VALUE"""),29.61)</f>
        <v>29.61</v>
      </c>
      <c r="E2752" s="1">
        <f>IFERROR(__xludf.DUMMYFUNCTION("""COMPUTED_VALUE"""),30.1)</f>
        <v>30.1</v>
      </c>
      <c r="F2752" s="1">
        <f>IFERROR(__xludf.DUMMYFUNCTION("""COMPUTED_VALUE"""),467093.0)</f>
        <v>467093</v>
      </c>
    </row>
    <row r="2753">
      <c r="A2753" s="2">
        <f>IFERROR(__xludf.DUMMYFUNCTION("""COMPUTED_VALUE"""),44174.66666666667)</f>
        <v>44174.66667</v>
      </c>
      <c r="B2753" s="1">
        <f>IFERROR(__xludf.DUMMYFUNCTION("""COMPUTED_VALUE"""),30.51)</f>
        <v>30.51</v>
      </c>
      <c r="C2753" s="1">
        <f>IFERROR(__xludf.DUMMYFUNCTION("""COMPUTED_VALUE"""),30.88)</f>
        <v>30.88</v>
      </c>
      <c r="D2753" s="1">
        <f>IFERROR(__xludf.DUMMYFUNCTION("""COMPUTED_VALUE"""),29.93)</f>
        <v>29.93</v>
      </c>
      <c r="E2753" s="1">
        <f>IFERROR(__xludf.DUMMYFUNCTION("""COMPUTED_VALUE"""),30.01)</f>
        <v>30.01</v>
      </c>
      <c r="F2753" s="1">
        <f>IFERROR(__xludf.DUMMYFUNCTION("""COMPUTED_VALUE"""),476641.0)</f>
        <v>476641</v>
      </c>
    </row>
    <row r="2754">
      <c r="A2754" s="2">
        <f>IFERROR(__xludf.DUMMYFUNCTION("""COMPUTED_VALUE"""),44175.66666666667)</f>
        <v>44175.66667</v>
      </c>
      <c r="B2754" s="1">
        <f>IFERROR(__xludf.DUMMYFUNCTION("""COMPUTED_VALUE"""),29.75)</f>
        <v>29.75</v>
      </c>
      <c r="C2754" s="1">
        <f>IFERROR(__xludf.DUMMYFUNCTION("""COMPUTED_VALUE"""),30.66)</f>
        <v>30.66</v>
      </c>
      <c r="D2754" s="1">
        <f>IFERROR(__xludf.DUMMYFUNCTION("""COMPUTED_VALUE"""),29.7)</f>
        <v>29.7</v>
      </c>
      <c r="E2754" s="1">
        <f>IFERROR(__xludf.DUMMYFUNCTION("""COMPUTED_VALUE"""),30.58)</f>
        <v>30.58</v>
      </c>
      <c r="F2754" s="1">
        <f>IFERROR(__xludf.DUMMYFUNCTION("""COMPUTED_VALUE"""),367807.0)</f>
        <v>367807</v>
      </c>
    </row>
    <row r="2755">
      <c r="A2755" s="2">
        <f>IFERROR(__xludf.DUMMYFUNCTION("""COMPUTED_VALUE"""),44176.66666666667)</f>
        <v>44176.66667</v>
      </c>
      <c r="B2755" s="1">
        <f>IFERROR(__xludf.DUMMYFUNCTION("""COMPUTED_VALUE"""),30.07)</f>
        <v>30.07</v>
      </c>
      <c r="C2755" s="1">
        <f>IFERROR(__xludf.DUMMYFUNCTION("""COMPUTED_VALUE"""),30.82)</f>
        <v>30.82</v>
      </c>
      <c r="D2755" s="1">
        <f>IFERROR(__xludf.DUMMYFUNCTION("""COMPUTED_VALUE"""),29.96)</f>
        <v>29.96</v>
      </c>
      <c r="E2755" s="1">
        <f>IFERROR(__xludf.DUMMYFUNCTION("""COMPUTED_VALUE"""),30.19)</f>
        <v>30.19</v>
      </c>
      <c r="F2755" s="1">
        <f>IFERROR(__xludf.DUMMYFUNCTION("""COMPUTED_VALUE"""),312364.0)</f>
        <v>312364</v>
      </c>
    </row>
    <row r="2756">
      <c r="A2756" s="2">
        <f>IFERROR(__xludf.DUMMYFUNCTION("""COMPUTED_VALUE"""),44179.66666666667)</f>
        <v>44179.66667</v>
      </c>
      <c r="B2756" s="1">
        <f>IFERROR(__xludf.DUMMYFUNCTION("""COMPUTED_VALUE"""),30.72)</f>
        <v>30.72</v>
      </c>
      <c r="C2756" s="1">
        <f>IFERROR(__xludf.DUMMYFUNCTION("""COMPUTED_VALUE"""),30.99)</f>
        <v>30.99</v>
      </c>
      <c r="D2756" s="1">
        <f>IFERROR(__xludf.DUMMYFUNCTION("""COMPUTED_VALUE"""),29.91)</f>
        <v>29.91</v>
      </c>
      <c r="E2756" s="1">
        <f>IFERROR(__xludf.DUMMYFUNCTION("""COMPUTED_VALUE"""),30.35)</f>
        <v>30.35</v>
      </c>
      <c r="F2756" s="1">
        <f>IFERROR(__xludf.DUMMYFUNCTION("""COMPUTED_VALUE"""),422797.0)</f>
        <v>422797</v>
      </c>
    </row>
    <row r="2757">
      <c r="A2757" s="2">
        <f>IFERROR(__xludf.DUMMYFUNCTION("""COMPUTED_VALUE"""),44180.66666666667)</f>
        <v>44180.66667</v>
      </c>
      <c r="B2757" s="1">
        <f>IFERROR(__xludf.DUMMYFUNCTION("""COMPUTED_VALUE"""),30.68)</f>
        <v>30.68</v>
      </c>
      <c r="C2757" s="1">
        <f>IFERROR(__xludf.DUMMYFUNCTION("""COMPUTED_VALUE"""),31.41)</f>
        <v>31.41</v>
      </c>
      <c r="D2757" s="1">
        <f>IFERROR(__xludf.DUMMYFUNCTION("""COMPUTED_VALUE"""),30.31)</f>
        <v>30.31</v>
      </c>
      <c r="E2757" s="1">
        <f>IFERROR(__xludf.DUMMYFUNCTION("""COMPUTED_VALUE"""),31.03)</f>
        <v>31.03</v>
      </c>
      <c r="F2757" s="1">
        <f>IFERROR(__xludf.DUMMYFUNCTION("""COMPUTED_VALUE"""),374516.0)</f>
        <v>374516</v>
      </c>
    </row>
    <row r="2758">
      <c r="A2758" s="2">
        <f>IFERROR(__xludf.DUMMYFUNCTION("""COMPUTED_VALUE"""),44181.66666666667)</f>
        <v>44181.66667</v>
      </c>
      <c r="B2758" s="1">
        <f>IFERROR(__xludf.DUMMYFUNCTION("""COMPUTED_VALUE"""),31.03)</f>
        <v>31.03</v>
      </c>
      <c r="C2758" s="1">
        <f>IFERROR(__xludf.DUMMYFUNCTION("""COMPUTED_VALUE"""),31.32)</f>
        <v>31.32</v>
      </c>
      <c r="D2758" s="1">
        <f>IFERROR(__xludf.DUMMYFUNCTION("""COMPUTED_VALUE"""),30.47)</f>
        <v>30.47</v>
      </c>
      <c r="E2758" s="1">
        <f>IFERROR(__xludf.DUMMYFUNCTION("""COMPUTED_VALUE"""),31.1)</f>
        <v>31.1</v>
      </c>
      <c r="F2758" s="1">
        <f>IFERROR(__xludf.DUMMYFUNCTION("""COMPUTED_VALUE"""),320826.0)</f>
        <v>320826</v>
      </c>
    </row>
    <row r="2759">
      <c r="A2759" s="2">
        <f>IFERROR(__xludf.DUMMYFUNCTION("""COMPUTED_VALUE"""),44182.66666666667)</f>
        <v>44182.66667</v>
      </c>
      <c r="B2759" s="1">
        <f>IFERROR(__xludf.DUMMYFUNCTION("""COMPUTED_VALUE"""),31.15)</f>
        <v>31.15</v>
      </c>
      <c r="C2759" s="1">
        <f>IFERROR(__xludf.DUMMYFUNCTION("""COMPUTED_VALUE"""),31.41)</f>
        <v>31.41</v>
      </c>
      <c r="D2759" s="1">
        <f>IFERROR(__xludf.DUMMYFUNCTION("""COMPUTED_VALUE"""),30.72)</f>
        <v>30.72</v>
      </c>
      <c r="E2759" s="1">
        <f>IFERROR(__xludf.DUMMYFUNCTION("""COMPUTED_VALUE"""),31.26)</f>
        <v>31.26</v>
      </c>
      <c r="F2759" s="1">
        <f>IFERROR(__xludf.DUMMYFUNCTION("""COMPUTED_VALUE"""),394920.0)</f>
        <v>394920</v>
      </c>
    </row>
    <row r="2760">
      <c r="A2760" s="2">
        <f>IFERROR(__xludf.DUMMYFUNCTION("""COMPUTED_VALUE"""),44183.66666666667)</f>
        <v>44183.66667</v>
      </c>
      <c r="B2760" s="1">
        <f>IFERROR(__xludf.DUMMYFUNCTION("""COMPUTED_VALUE"""),31.36)</f>
        <v>31.36</v>
      </c>
      <c r="C2760" s="1">
        <f>IFERROR(__xludf.DUMMYFUNCTION("""COMPUTED_VALUE"""),31.55)</f>
        <v>31.55</v>
      </c>
      <c r="D2760" s="1">
        <f>IFERROR(__xludf.DUMMYFUNCTION("""COMPUTED_VALUE"""),30.35)</f>
        <v>30.35</v>
      </c>
      <c r="E2760" s="1">
        <f>IFERROR(__xludf.DUMMYFUNCTION("""COMPUTED_VALUE"""),30.58)</f>
        <v>30.58</v>
      </c>
      <c r="F2760" s="1">
        <f>IFERROR(__xludf.DUMMYFUNCTION("""COMPUTED_VALUE"""),1283078.0)</f>
        <v>1283078</v>
      </c>
    </row>
    <row r="2761">
      <c r="A2761" s="2">
        <f>IFERROR(__xludf.DUMMYFUNCTION("""COMPUTED_VALUE"""),44186.66666666667)</f>
        <v>44186.66667</v>
      </c>
      <c r="B2761" s="1">
        <f>IFERROR(__xludf.DUMMYFUNCTION("""COMPUTED_VALUE"""),30.69)</f>
        <v>30.69</v>
      </c>
      <c r="C2761" s="1">
        <f>IFERROR(__xludf.DUMMYFUNCTION("""COMPUTED_VALUE"""),31.05)</f>
        <v>31.05</v>
      </c>
      <c r="D2761" s="1">
        <f>IFERROR(__xludf.DUMMYFUNCTION("""COMPUTED_VALUE"""),30.34)</f>
        <v>30.34</v>
      </c>
      <c r="E2761" s="1">
        <f>IFERROR(__xludf.DUMMYFUNCTION("""COMPUTED_VALUE"""),30.61)</f>
        <v>30.61</v>
      </c>
      <c r="F2761" s="1">
        <f>IFERROR(__xludf.DUMMYFUNCTION("""COMPUTED_VALUE"""),340042.0)</f>
        <v>340042</v>
      </c>
    </row>
    <row r="2762">
      <c r="A2762" s="2">
        <f>IFERROR(__xludf.DUMMYFUNCTION("""COMPUTED_VALUE"""),44187.66666666667)</f>
        <v>44187.66667</v>
      </c>
      <c r="B2762" s="1">
        <f>IFERROR(__xludf.DUMMYFUNCTION("""COMPUTED_VALUE"""),30.84)</f>
        <v>30.84</v>
      </c>
      <c r="C2762" s="1">
        <f>IFERROR(__xludf.DUMMYFUNCTION("""COMPUTED_VALUE"""),30.95)</f>
        <v>30.95</v>
      </c>
      <c r="D2762" s="1">
        <f>IFERROR(__xludf.DUMMYFUNCTION("""COMPUTED_VALUE"""),30.25)</f>
        <v>30.25</v>
      </c>
      <c r="E2762" s="1">
        <f>IFERROR(__xludf.DUMMYFUNCTION("""COMPUTED_VALUE"""),30.35)</f>
        <v>30.35</v>
      </c>
      <c r="F2762" s="1">
        <f>IFERROR(__xludf.DUMMYFUNCTION("""COMPUTED_VALUE"""),324693.0)</f>
        <v>324693</v>
      </c>
    </row>
    <row r="2763">
      <c r="A2763" s="2">
        <f>IFERROR(__xludf.DUMMYFUNCTION("""COMPUTED_VALUE"""),44188.66666666667)</f>
        <v>44188.66667</v>
      </c>
      <c r="B2763" s="1">
        <f>IFERROR(__xludf.DUMMYFUNCTION("""COMPUTED_VALUE"""),30.6)</f>
        <v>30.6</v>
      </c>
      <c r="C2763" s="1">
        <f>IFERROR(__xludf.DUMMYFUNCTION("""COMPUTED_VALUE"""),31.61)</f>
        <v>31.61</v>
      </c>
      <c r="D2763" s="1">
        <f>IFERROR(__xludf.DUMMYFUNCTION("""COMPUTED_VALUE"""),30.51)</f>
        <v>30.51</v>
      </c>
      <c r="E2763" s="1">
        <f>IFERROR(__xludf.DUMMYFUNCTION("""COMPUTED_VALUE"""),31.54)</f>
        <v>31.54</v>
      </c>
      <c r="F2763" s="1">
        <f>IFERROR(__xludf.DUMMYFUNCTION("""COMPUTED_VALUE"""),275358.0)</f>
        <v>275358</v>
      </c>
    </row>
    <row r="2764">
      <c r="A2764" s="2">
        <f>IFERROR(__xludf.DUMMYFUNCTION("""COMPUTED_VALUE"""),44189.54166666667)</f>
        <v>44189.54167</v>
      </c>
      <c r="B2764" s="1">
        <f>IFERROR(__xludf.DUMMYFUNCTION("""COMPUTED_VALUE"""),31.61)</f>
        <v>31.61</v>
      </c>
      <c r="C2764" s="1">
        <f>IFERROR(__xludf.DUMMYFUNCTION("""COMPUTED_VALUE"""),31.61)</f>
        <v>31.61</v>
      </c>
      <c r="D2764" s="1">
        <f>IFERROR(__xludf.DUMMYFUNCTION("""COMPUTED_VALUE"""),30.98)</f>
        <v>30.98</v>
      </c>
      <c r="E2764" s="1">
        <f>IFERROR(__xludf.DUMMYFUNCTION("""COMPUTED_VALUE"""),31.5)</f>
        <v>31.5</v>
      </c>
      <c r="F2764" s="1">
        <f>IFERROR(__xludf.DUMMYFUNCTION("""COMPUTED_VALUE"""),132555.0)</f>
        <v>132555</v>
      </c>
    </row>
    <row r="2765">
      <c r="A2765" s="2">
        <f>IFERROR(__xludf.DUMMYFUNCTION("""COMPUTED_VALUE"""),44193.66666666667)</f>
        <v>44193.66667</v>
      </c>
      <c r="B2765" s="1">
        <f>IFERROR(__xludf.DUMMYFUNCTION("""COMPUTED_VALUE"""),31.64)</f>
        <v>31.64</v>
      </c>
      <c r="C2765" s="1">
        <f>IFERROR(__xludf.DUMMYFUNCTION("""COMPUTED_VALUE"""),32.89)</f>
        <v>32.89</v>
      </c>
      <c r="D2765" s="1">
        <f>IFERROR(__xludf.DUMMYFUNCTION("""COMPUTED_VALUE"""),31.61)</f>
        <v>31.61</v>
      </c>
      <c r="E2765" s="1">
        <f>IFERROR(__xludf.DUMMYFUNCTION("""COMPUTED_VALUE"""),32.3)</f>
        <v>32.3</v>
      </c>
      <c r="F2765" s="1">
        <f>IFERROR(__xludf.DUMMYFUNCTION("""COMPUTED_VALUE"""),393745.0)</f>
        <v>393745</v>
      </c>
    </row>
    <row r="2766">
      <c r="A2766" s="2">
        <f>IFERROR(__xludf.DUMMYFUNCTION("""COMPUTED_VALUE"""),44194.66666666667)</f>
        <v>44194.66667</v>
      </c>
      <c r="B2766" s="1">
        <f>IFERROR(__xludf.DUMMYFUNCTION("""COMPUTED_VALUE"""),32.17)</f>
        <v>32.17</v>
      </c>
      <c r="C2766" s="1">
        <f>IFERROR(__xludf.DUMMYFUNCTION("""COMPUTED_VALUE"""),32.94)</f>
        <v>32.94</v>
      </c>
      <c r="D2766" s="1">
        <f>IFERROR(__xludf.DUMMYFUNCTION("""COMPUTED_VALUE"""),30.88)</f>
        <v>30.88</v>
      </c>
      <c r="E2766" s="1">
        <f>IFERROR(__xludf.DUMMYFUNCTION("""COMPUTED_VALUE"""),31.67)</f>
        <v>31.67</v>
      </c>
      <c r="F2766" s="1">
        <f>IFERROR(__xludf.DUMMYFUNCTION("""COMPUTED_VALUE"""),278331.0)</f>
        <v>278331</v>
      </c>
    </row>
    <row r="2767">
      <c r="A2767" s="2">
        <f>IFERROR(__xludf.DUMMYFUNCTION("""COMPUTED_VALUE"""),44195.66666666667)</f>
        <v>44195.66667</v>
      </c>
      <c r="B2767" s="1">
        <f>IFERROR(__xludf.DUMMYFUNCTION("""COMPUTED_VALUE"""),31.6)</f>
        <v>31.6</v>
      </c>
      <c r="C2767" s="1">
        <f>IFERROR(__xludf.DUMMYFUNCTION("""COMPUTED_VALUE"""),32.21)</f>
        <v>32.21</v>
      </c>
      <c r="D2767" s="1">
        <f>IFERROR(__xludf.DUMMYFUNCTION("""COMPUTED_VALUE"""),31.45)</f>
        <v>31.45</v>
      </c>
      <c r="E2767" s="1">
        <f>IFERROR(__xludf.DUMMYFUNCTION("""COMPUTED_VALUE"""),31.93)</f>
        <v>31.93</v>
      </c>
      <c r="F2767" s="1">
        <f>IFERROR(__xludf.DUMMYFUNCTION("""COMPUTED_VALUE"""),175100.0)</f>
        <v>175100</v>
      </c>
    </row>
    <row r="2768">
      <c r="A2768" s="2">
        <f>IFERROR(__xludf.DUMMYFUNCTION("""COMPUTED_VALUE"""),44196.66666666667)</f>
        <v>44196.66667</v>
      </c>
      <c r="B2768" s="1">
        <f>IFERROR(__xludf.DUMMYFUNCTION("""COMPUTED_VALUE"""),32.03)</f>
        <v>32.03</v>
      </c>
      <c r="C2768" s="1">
        <f>IFERROR(__xludf.DUMMYFUNCTION("""COMPUTED_VALUE"""),32.37)</f>
        <v>32.37</v>
      </c>
      <c r="D2768" s="1">
        <f>IFERROR(__xludf.DUMMYFUNCTION("""COMPUTED_VALUE"""),31.65)</f>
        <v>31.65</v>
      </c>
      <c r="E2768" s="1">
        <f>IFERROR(__xludf.DUMMYFUNCTION("""COMPUTED_VALUE"""),32.19)</f>
        <v>32.19</v>
      </c>
      <c r="F2768" s="1">
        <f>IFERROR(__xludf.DUMMYFUNCTION("""COMPUTED_VALUE"""),358588.0)</f>
        <v>358588</v>
      </c>
    </row>
    <row r="2769">
      <c r="A2769" s="2">
        <f>IFERROR(__xludf.DUMMYFUNCTION("""COMPUTED_VALUE"""),44200.66666666667)</f>
        <v>44200.66667</v>
      </c>
      <c r="B2769" s="1">
        <f>IFERROR(__xludf.DUMMYFUNCTION("""COMPUTED_VALUE"""),32.47)</f>
        <v>32.47</v>
      </c>
      <c r="C2769" s="1">
        <f>IFERROR(__xludf.DUMMYFUNCTION("""COMPUTED_VALUE"""),32.66)</f>
        <v>32.66</v>
      </c>
      <c r="D2769" s="1">
        <f>IFERROR(__xludf.DUMMYFUNCTION("""COMPUTED_VALUE"""),31.23)</f>
        <v>31.23</v>
      </c>
      <c r="E2769" s="1">
        <f>IFERROR(__xludf.DUMMYFUNCTION("""COMPUTED_VALUE"""),31.99)</f>
        <v>31.99</v>
      </c>
      <c r="F2769" s="1">
        <f>IFERROR(__xludf.DUMMYFUNCTION("""COMPUTED_VALUE"""),380232.0)</f>
        <v>380232</v>
      </c>
    </row>
    <row r="2770">
      <c r="A2770" s="2">
        <f>IFERROR(__xludf.DUMMYFUNCTION("""COMPUTED_VALUE"""),44201.66666666667)</f>
        <v>44201.66667</v>
      </c>
      <c r="B2770" s="1">
        <f>IFERROR(__xludf.DUMMYFUNCTION("""COMPUTED_VALUE"""),32.05)</f>
        <v>32.05</v>
      </c>
      <c r="C2770" s="1">
        <f>IFERROR(__xludf.DUMMYFUNCTION("""COMPUTED_VALUE"""),32.64)</f>
        <v>32.64</v>
      </c>
      <c r="D2770" s="1">
        <f>IFERROR(__xludf.DUMMYFUNCTION("""COMPUTED_VALUE"""),31.52)</f>
        <v>31.52</v>
      </c>
      <c r="E2770" s="1">
        <f>IFERROR(__xludf.DUMMYFUNCTION("""COMPUTED_VALUE"""),32.23)</f>
        <v>32.23</v>
      </c>
      <c r="F2770" s="1">
        <f>IFERROR(__xludf.DUMMYFUNCTION("""COMPUTED_VALUE"""),362451.0)</f>
        <v>362451</v>
      </c>
    </row>
    <row r="2771">
      <c r="A2771" s="2">
        <f>IFERROR(__xludf.DUMMYFUNCTION("""COMPUTED_VALUE"""),44202.66666666667)</f>
        <v>44202.66667</v>
      </c>
      <c r="B2771" s="1">
        <f>IFERROR(__xludf.DUMMYFUNCTION("""COMPUTED_VALUE"""),33.18)</f>
        <v>33.18</v>
      </c>
      <c r="C2771" s="1">
        <f>IFERROR(__xludf.DUMMYFUNCTION("""COMPUTED_VALUE"""),35.91)</f>
        <v>35.91</v>
      </c>
      <c r="D2771" s="1">
        <f>IFERROR(__xludf.DUMMYFUNCTION("""COMPUTED_VALUE"""),32.2)</f>
        <v>32.2</v>
      </c>
      <c r="E2771" s="1">
        <f>IFERROR(__xludf.DUMMYFUNCTION("""COMPUTED_VALUE"""),35.03)</f>
        <v>35.03</v>
      </c>
      <c r="F2771" s="1">
        <f>IFERROR(__xludf.DUMMYFUNCTION("""COMPUTED_VALUE"""),765785.0)</f>
        <v>765785</v>
      </c>
    </row>
    <row r="2772">
      <c r="A2772" s="2">
        <f>IFERROR(__xludf.DUMMYFUNCTION("""COMPUTED_VALUE"""),44203.66666666667)</f>
        <v>44203.66667</v>
      </c>
      <c r="B2772" s="1">
        <f>IFERROR(__xludf.DUMMYFUNCTION("""COMPUTED_VALUE"""),35.55)</f>
        <v>35.55</v>
      </c>
      <c r="C2772" s="1">
        <f>IFERROR(__xludf.DUMMYFUNCTION("""COMPUTED_VALUE"""),36.23)</f>
        <v>36.23</v>
      </c>
      <c r="D2772" s="1">
        <f>IFERROR(__xludf.DUMMYFUNCTION("""COMPUTED_VALUE"""),35.37)</f>
        <v>35.37</v>
      </c>
      <c r="E2772" s="1">
        <f>IFERROR(__xludf.DUMMYFUNCTION("""COMPUTED_VALUE"""),36.05)</f>
        <v>36.05</v>
      </c>
      <c r="F2772" s="1">
        <f>IFERROR(__xludf.DUMMYFUNCTION("""COMPUTED_VALUE"""),476707.0)</f>
        <v>476707</v>
      </c>
    </row>
    <row r="2773">
      <c r="A2773" s="2">
        <f>IFERROR(__xludf.DUMMYFUNCTION("""COMPUTED_VALUE"""),44204.66666666667)</f>
        <v>44204.66667</v>
      </c>
      <c r="B2773" s="1">
        <f>IFERROR(__xludf.DUMMYFUNCTION("""COMPUTED_VALUE"""),36.11)</f>
        <v>36.11</v>
      </c>
      <c r="C2773" s="1">
        <f>IFERROR(__xludf.DUMMYFUNCTION("""COMPUTED_VALUE"""),36.11)</f>
        <v>36.11</v>
      </c>
      <c r="D2773" s="1">
        <f>IFERROR(__xludf.DUMMYFUNCTION("""COMPUTED_VALUE"""),34.25)</f>
        <v>34.25</v>
      </c>
      <c r="E2773" s="1">
        <f>IFERROR(__xludf.DUMMYFUNCTION("""COMPUTED_VALUE"""),34.92)</f>
        <v>34.92</v>
      </c>
      <c r="F2773" s="1">
        <f>IFERROR(__xludf.DUMMYFUNCTION("""COMPUTED_VALUE"""),345576.0)</f>
        <v>345576</v>
      </c>
    </row>
    <row r="2774">
      <c r="A2774" s="2">
        <f>IFERROR(__xludf.DUMMYFUNCTION("""COMPUTED_VALUE"""),44207.66666666667)</f>
        <v>44207.66667</v>
      </c>
      <c r="B2774" s="1">
        <f>IFERROR(__xludf.DUMMYFUNCTION("""COMPUTED_VALUE"""),34.66)</f>
        <v>34.66</v>
      </c>
      <c r="C2774" s="1">
        <f>IFERROR(__xludf.DUMMYFUNCTION("""COMPUTED_VALUE"""),35.76)</f>
        <v>35.76</v>
      </c>
      <c r="D2774" s="1">
        <f>IFERROR(__xludf.DUMMYFUNCTION("""COMPUTED_VALUE"""),34.66)</f>
        <v>34.66</v>
      </c>
      <c r="E2774" s="1">
        <f>IFERROR(__xludf.DUMMYFUNCTION("""COMPUTED_VALUE"""),35.67)</f>
        <v>35.67</v>
      </c>
      <c r="F2774" s="1">
        <f>IFERROR(__xludf.DUMMYFUNCTION("""COMPUTED_VALUE"""),331447.0)</f>
        <v>331447</v>
      </c>
    </row>
    <row r="2775">
      <c r="A2775" s="2">
        <f>IFERROR(__xludf.DUMMYFUNCTION("""COMPUTED_VALUE"""),44208.66666666667)</f>
        <v>44208.66667</v>
      </c>
      <c r="B2775" s="1">
        <f>IFERROR(__xludf.DUMMYFUNCTION("""COMPUTED_VALUE"""),36.13)</f>
        <v>36.13</v>
      </c>
      <c r="C2775" s="1">
        <f>IFERROR(__xludf.DUMMYFUNCTION("""COMPUTED_VALUE"""),36.85)</f>
        <v>36.85</v>
      </c>
      <c r="D2775" s="1">
        <f>IFERROR(__xludf.DUMMYFUNCTION("""COMPUTED_VALUE"""),35.77)</f>
        <v>35.77</v>
      </c>
      <c r="E2775" s="1">
        <f>IFERROR(__xludf.DUMMYFUNCTION("""COMPUTED_VALUE"""),36.53)</f>
        <v>36.53</v>
      </c>
      <c r="F2775" s="1">
        <f>IFERROR(__xludf.DUMMYFUNCTION("""COMPUTED_VALUE"""),267895.0)</f>
        <v>267895</v>
      </c>
    </row>
    <row r="2776">
      <c r="A2776" s="2">
        <f>IFERROR(__xludf.DUMMYFUNCTION("""COMPUTED_VALUE"""),44209.66666666667)</f>
        <v>44209.66667</v>
      </c>
      <c r="B2776" s="1">
        <f>IFERROR(__xludf.DUMMYFUNCTION("""COMPUTED_VALUE"""),36.24)</f>
        <v>36.24</v>
      </c>
      <c r="C2776" s="1">
        <f>IFERROR(__xludf.DUMMYFUNCTION("""COMPUTED_VALUE"""),36.53)</f>
        <v>36.53</v>
      </c>
      <c r="D2776" s="1">
        <f>IFERROR(__xludf.DUMMYFUNCTION("""COMPUTED_VALUE"""),35.01)</f>
        <v>35.01</v>
      </c>
      <c r="E2776" s="1">
        <f>IFERROR(__xludf.DUMMYFUNCTION("""COMPUTED_VALUE"""),36.11)</f>
        <v>36.11</v>
      </c>
      <c r="F2776" s="1">
        <f>IFERROR(__xludf.DUMMYFUNCTION("""COMPUTED_VALUE"""),239461.0)</f>
        <v>239461</v>
      </c>
    </row>
    <row r="2777">
      <c r="A2777" s="2">
        <f>IFERROR(__xludf.DUMMYFUNCTION("""COMPUTED_VALUE"""),44210.66666666667)</f>
        <v>44210.66667</v>
      </c>
      <c r="B2777" s="1">
        <f>IFERROR(__xludf.DUMMYFUNCTION("""COMPUTED_VALUE"""),36.5)</f>
        <v>36.5</v>
      </c>
      <c r="C2777" s="1">
        <f>IFERROR(__xludf.DUMMYFUNCTION("""COMPUTED_VALUE"""),37.18)</f>
        <v>37.18</v>
      </c>
      <c r="D2777" s="1">
        <f>IFERROR(__xludf.DUMMYFUNCTION("""COMPUTED_VALUE"""),35.86)</f>
        <v>35.86</v>
      </c>
      <c r="E2777" s="1">
        <f>IFERROR(__xludf.DUMMYFUNCTION("""COMPUTED_VALUE"""),37.04)</f>
        <v>37.04</v>
      </c>
      <c r="F2777" s="1">
        <f>IFERROR(__xludf.DUMMYFUNCTION("""COMPUTED_VALUE"""),286069.0)</f>
        <v>286069</v>
      </c>
    </row>
    <row r="2778">
      <c r="A2778" s="2">
        <f>IFERROR(__xludf.DUMMYFUNCTION("""COMPUTED_VALUE"""),44211.66666666667)</f>
        <v>44211.66667</v>
      </c>
      <c r="B2778" s="1">
        <f>IFERROR(__xludf.DUMMYFUNCTION("""COMPUTED_VALUE"""),36.35)</f>
        <v>36.35</v>
      </c>
      <c r="C2778" s="1">
        <f>IFERROR(__xludf.DUMMYFUNCTION("""COMPUTED_VALUE"""),37.05)</f>
        <v>37.05</v>
      </c>
      <c r="D2778" s="1">
        <f>IFERROR(__xludf.DUMMYFUNCTION("""COMPUTED_VALUE"""),36.16)</f>
        <v>36.16</v>
      </c>
      <c r="E2778" s="1">
        <f>IFERROR(__xludf.DUMMYFUNCTION("""COMPUTED_VALUE"""),36.59)</f>
        <v>36.59</v>
      </c>
      <c r="F2778" s="1">
        <f>IFERROR(__xludf.DUMMYFUNCTION("""COMPUTED_VALUE"""),326302.0)</f>
        <v>326302</v>
      </c>
    </row>
    <row r="2779">
      <c r="A2779" s="2">
        <f>IFERROR(__xludf.DUMMYFUNCTION("""COMPUTED_VALUE"""),44215.66666666667)</f>
        <v>44215.66667</v>
      </c>
      <c r="B2779" s="1">
        <f>IFERROR(__xludf.DUMMYFUNCTION("""COMPUTED_VALUE"""),36.88)</f>
        <v>36.88</v>
      </c>
      <c r="C2779" s="1">
        <f>IFERROR(__xludf.DUMMYFUNCTION("""COMPUTED_VALUE"""),37.03)</f>
        <v>37.03</v>
      </c>
      <c r="D2779" s="1">
        <f>IFERROR(__xludf.DUMMYFUNCTION("""COMPUTED_VALUE"""),36.39)</f>
        <v>36.39</v>
      </c>
      <c r="E2779" s="1">
        <f>IFERROR(__xludf.DUMMYFUNCTION("""COMPUTED_VALUE"""),36.91)</f>
        <v>36.91</v>
      </c>
      <c r="F2779" s="1">
        <f>IFERROR(__xludf.DUMMYFUNCTION("""COMPUTED_VALUE"""),255655.0)</f>
        <v>255655</v>
      </c>
    </row>
    <row r="2780">
      <c r="A2780" s="2">
        <f>IFERROR(__xludf.DUMMYFUNCTION("""COMPUTED_VALUE"""),44216.66666666667)</f>
        <v>44216.66667</v>
      </c>
      <c r="B2780" s="1">
        <f>IFERROR(__xludf.DUMMYFUNCTION("""COMPUTED_VALUE"""),36.96)</f>
        <v>36.96</v>
      </c>
      <c r="C2780" s="1">
        <f>IFERROR(__xludf.DUMMYFUNCTION("""COMPUTED_VALUE"""),36.96)</f>
        <v>36.96</v>
      </c>
      <c r="D2780" s="1">
        <f>IFERROR(__xludf.DUMMYFUNCTION("""COMPUTED_VALUE"""),36.11)</f>
        <v>36.11</v>
      </c>
      <c r="E2780" s="1">
        <f>IFERROR(__xludf.DUMMYFUNCTION("""COMPUTED_VALUE"""),36.71)</f>
        <v>36.71</v>
      </c>
      <c r="F2780" s="1">
        <f>IFERROR(__xludf.DUMMYFUNCTION("""COMPUTED_VALUE"""),285497.0)</f>
        <v>285497</v>
      </c>
    </row>
    <row r="2781">
      <c r="A2781" s="2">
        <f>IFERROR(__xludf.DUMMYFUNCTION("""COMPUTED_VALUE"""),44217.66666666667)</f>
        <v>44217.66667</v>
      </c>
      <c r="B2781" s="1">
        <f>IFERROR(__xludf.DUMMYFUNCTION("""COMPUTED_VALUE"""),36.68)</f>
        <v>36.68</v>
      </c>
      <c r="C2781" s="1">
        <f>IFERROR(__xludf.DUMMYFUNCTION("""COMPUTED_VALUE"""),36.97)</f>
        <v>36.97</v>
      </c>
      <c r="D2781" s="1">
        <f>IFERROR(__xludf.DUMMYFUNCTION("""COMPUTED_VALUE"""),35.38)</f>
        <v>35.38</v>
      </c>
      <c r="E2781" s="1">
        <f>IFERROR(__xludf.DUMMYFUNCTION("""COMPUTED_VALUE"""),35.55)</f>
        <v>35.55</v>
      </c>
      <c r="F2781" s="1">
        <f>IFERROR(__xludf.DUMMYFUNCTION("""COMPUTED_VALUE"""),301835.0)</f>
        <v>301835</v>
      </c>
    </row>
    <row r="2782">
      <c r="A2782" s="2">
        <f>IFERROR(__xludf.DUMMYFUNCTION("""COMPUTED_VALUE"""),44218.66666666667)</f>
        <v>44218.66667</v>
      </c>
      <c r="B2782" s="1">
        <f>IFERROR(__xludf.DUMMYFUNCTION("""COMPUTED_VALUE"""),35.22)</f>
        <v>35.22</v>
      </c>
      <c r="C2782" s="1">
        <f>IFERROR(__xludf.DUMMYFUNCTION("""COMPUTED_VALUE"""),36.91)</f>
        <v>36.91</v>
      </c>
      <c r="D2782" s="1">
        <f>IFERROR(__xludf.DUMMYFUNCTION("""COMPUTED_VALUE"""),35.22)</f>
        <v>35.22</v>
      </c>
      <c r="E2782" s="1">
        <f>IFERROR(__xludf.DUMMYFUNCTION("""COMPUTED_VALUE"""),36.82)</f>
        <v>36.82</v>
      </c>
      <c r="F2782" s="1">
        <f>IFERROR(__xludf.DUMMYFUNCTION("""COMPUTED_VALUE"""),361992.0)</f>
        <v>361992</v>
      </c>
    </row>
    <row r="2783">
      <c r="A2783" s="2">
        <f>IFERROR(__xludf.DUMMYFUNCTION("""COMPUTED_VALUE"""),44221.66666666667)</f>
        <v>44221.66667</v>
      </c>
      <c r="B2783" s="1">
        <f>IFERROR(__xludf.DUMMYFUNCTION("""COMPUTED_VALUE"""),36.37)</f>
        <v>36.37</v>
      </c>
      <c r="C2783" s="1">
        <f>IFERROR(__xludf.DUMMYFUNCTION("""COMPUTED_VALUE"""),36.59)</f>
        <v>36.59</v>
      </c>
      <c r="D2783" s="1">
        <f>IFERROR(__xludf.DUMMYFUNCTION("""COMPUTED_VALUE"""),35.56)</f>
        <v>35.56</v>
      </c>
      <c r="E2783" s="1">
        <f>IFERROR(__xludf.DUMMYFUNCTION("""COMPUTED_VALUE"""),36.49)</f>
        <v>36.49</v>
      </c>
      <c r="F2783" s="1">
        <f>IFERROR(__xludf.DUMMYFUNCTION("""COMPUTED_VALUE"""),354378.0)</f>
        <v>354378</v>
      </c>
    </row>
    <row r="2784">
      <c r="A2784" s="2">
        <f>IFERROR(__xludf.DUMMYFUNCTION("""COMPUTED_VALUE"""),44222.66666666667)</f>
        <v>44222.66667</v>
      </c>
      <c r="B2784" s="1">
        <f>IFERROR(__xludf.DUMMYFUNCTION("""COMPUTED_VALUE"""),36.82)</f>
        <v>36.82</v>
      </c>
      <c r="C2784" s="1">
        <f>IFERROR(__xludf.DUMMYFUNCTION("""COMPUTED_VALUE"""),36.82)</f>
        <v>36.82</v>
      </c>
      <c r="D2784" s="1">
        <f>IFERROR(__xludf.DUMMYFUNCTION("""COMPUTED_VALUE"""),36.08)</f>
        <v>36.08</v>
      </c>
      <c r="E2784" s="1">
        <f>IFERROR(__xludf.DUMMYFUNCTION("""COMPUTED_VALUE"""),36.17)</f>
        <v>36.17</v>
      </c>
      <c r="F2784" s="1">
        <f>IFERROR(__xludf.DUMMYFUNCTION("""COMPUTED_VALUE"""),274917.0)</f>
        <v>274917</v>
      </c>
    </row>
    <row r="2785">
      <c r="A2785" s="2">
        <f>IFERROR(__xludf.DUMMYFUNCTION("""COMPUTED_VALUE"""),44223.66666666667)</f>
        <v>44223.66667</v>
      </c>
      <c r="B2785" s="1">
        <f>IFERROR(__xludf.DUMMYFUNCTION("""COMPUTED_VALUE"""),35.06)</f>
        <v>35.06</v>
      </c>
      <c r="C2785" s="1">
        <f>IFERROR(__xludf.DUMMYFUNCTION("""COMPUTED_VALUE"""),36.08)</f>
        <v>36.08</v>
      </c>
      <c r="D2785" s="1">
        <f>IFERROR(__xludf.DUMMYFUNCTION("""COMPUTED_VALUE"""),34.35)</f>
        <v>34.35</v>
      </c>
      <c r="E2785" s="1">
        <f>IFERROR(__xludf.DUMMYFUNCTION("""COMPUTED_VALUE"""),34.87)</f>
        <v>34.87</v>
      </c>
      <c r="F2785" s="1">
        <f>IFERROR(__xludf.DUMMYFUNCTION("""COMPUTED_VALUE"""),510782.0)</f>
        <v>510782</v>
      </c>
    </row>
    <row r="2786">
      <c r="A2786" s="2">
        <f>IFERROR(__xludf.DUMMYFUNCTION("""COMPUTED_VALUE"""),44224.66666666667)</f>
        <v>44224.66667</v>
      </c>
      <c r="B2786" s="1">
        <f>IFERROR(__xludf.DUMMYFUNCTION("""COMPUTED_VALUE"""),36.99)</f>
        <v>36.99</v>
      </c>
      <c r="C2786" s="1">
        <f>IFERROR(__xludf.DUMMYFUNCTION("""COMPUTED_VALUE"""),37.0)</f>
        <v>37</v>
      </c>
      <c r="D2786" s="1">
        <f>IFERROR(__xludf.DUMMYFUNCTION("""COMPUTED_VALUE"""),35.05)</f>
        <v>35.05</v>
      </c>
      <c r="E2786" s="1">
        <f>IFERROR(__xludf.DUMMYFUNCTION("""COMPUTED_VALUE"""),35.34)</f>
        <v>35.34</v>
      </c>
      <c r="F2786" s="1">
        <f>IFERROR(__xludf.DUMMYFUNCTION("""COMPUTED_VALUE"""),582115.0)</f>
        <v>582115</v>
      </c>
    </row>
    <row r="2787">
      <c r="A2787" s="2">
        <f>IFERROR(__xludf.DUMMYFUNCTION("""COMPUTED_VALUE"""),44225.66666666667)</f>
        <v>44225.66667</v>
      </c>
      <c r="B2787" s="1">
        <f>IFERROR(__xludf.DUMMYFUNCTION("""COMPUTED_VALUE"""),35.37)</f>
        <v>35.37</v>
      </c>
      <c r="C2787" s="1">
        <f>IFERROR(__xludf.DUMMYFUNCTION("""COMPUTED_VALUE"""),35.47)</f>
        <v>35.47</v>
      </c>
      <c r="D2787" s="1">
        <f>IFERROR(__xludf.DUMMYFUNCTION("""COMPUTED_VALUE"""),33.7)</f>
        <v>33.7</v>
      </c>
      <c r="E2787" s="1">
        <f>IFERROR(__xludf.DUMMYFUNCTION("""COMPUTED_VALUE"""),33.82)</f>
        <v>33.82</v>
      </c>
      <c r="F2787" s="1">
        <f>IFERROR(__xludf.DUMMYFUNCTION("""COMPUTED_VALUE"""),455490.0)</f>
        <v>455490</v>
      </c>
    </row>
    <row r="2788">
      <c r="A2788" s="2">
        <f>IFERROR(__xludf.DUMMYFUNCTION("""COMPUTED_VALUE"""),44228.66666666667)</f>
        <v>44228.66667</v>
      </c>
      <c r="B2788" s="1">
        <f>IFERROR(__xludf.DUMMYFUNCTION("""COMPUTED_VALUE"""),33.97)</f>
        <v>33.97</v>
      </c>
      <c r="C2788" s="1">
        <f>IFERROR(__xludf.DUMMYFUNCTION("""COMPUTED_VALUE"""),34.79)</f>
        <v>34.79</v>
      </c>
      <c r="D2788" s="1">
        <f>IFERROR(__xludf.DUMMYFUNCTION("""COMPUTED_VALUE"""),33.44)</f>
        <v>33.44</v>
      </c>
      <c r="E2788" s="1">
        <f>IFERROR(__xludf.DUMMYFUNCTION("""COMPUTED_VALUE"""),34.58)</f>
        <v>34.58</v>
      </c>
      <c r="F2788" s="1">
        <f>IFERROR(__xludf.DUMMYFUNCTION("""COMPUTED_VALUE"""),271708.0)</f>
        <v>271708</v>
      </c>
    </row>
    <row r="2789">
      <c r="A2789" s="2">
        <f>IFERROR(__xludf.DUMMYFUNCTION("""COMPUTED_VALUE"""),44229.66666666667)</f>
        <v>44229.66667</v>
      </c>
      <c r="B2789" s="1">
        <f>IFERROR(__xludf.DUMMYFUNCTION("""COMPUTED_VALUE"""),35.1)</f>
        <v>35.1</v>
      </c>
      <c r="C2789" s="1">
        <f>IFERROR(__xludf.DUMMYFUNCTION("""COMPUTED_VALUE"""),35.65)</f>
        <v>35.65</v>
      </c>
      <c r="D2789" s="1">
        <f>IFERROR(__xludf.DUMMYFUNCTION("""COMPUTED_VALUE"""),34.62)</f>
        <v>34.62</v>
      </c>
      <c r="E2789" s="1">
        <f>IFERROR(__xludf.DUMMYFUNCTION("""COMPUTED_VALUE"""),35.43)</f>
        <v>35.43</v>
      </c>
      <c r="F2789" s="1">
        <f>IFERROR(__xludf.DUMMYFUNCTION("""COMPUTED_VALUE"""),337560.0)</f>
        <v>337560</v>
      </c>
    </row>
    <row r="2790">
      <c r="A2790" s="2">
        <f>IFERROR(__xludf.DUMMYFUNCTION("""COMPUTED_VALUE"""),44230.66666666667)</f>
        <v>44230.66667</v>
      </c>
      <c r="B2790" s="1">
        <f>IFERROR(__xludf.DUMMYFUNCTION("""COMPUTED_VALUE"""),35.17)</f>
        <v>35.17</v>
      </c>
      <c r="C2790" s="1">
        <f>IFERROR(__xludf.DUMMYFUNCTION("""COMPUTED_VALUE"""),35.83)</f>
        <v>35.83</v>
      </c>
      <c r="D2790" s="1">
        <f>IFERROR(__xludf.DUMMYFUNCTION("""COMPUTED_VALUE"""),34.74)</f>
        <v>34.74</v>
      </c>
      <c r="E2790" s="1">
        <f>IFERROR(__xludf.DUMMYFUNCTION("""COMPUTED_VALUE"""),35.23)</f>
        <v>35.23</v>
      </c>
      <c r="F2790" s="1">
        <f>IFERROR(__xludf.DUMMYFUNCTION("""COMPUTED_VALUE"""),228720.0)</f>
        <v>228720</v>
      </c>
    </row>
    <row r="2791">
      <c r="A2791" s="2">
        <f>IFERROR(__xludf.DUMMYFUNCTION("""COMPUTED_VALUE"""),44231.66666666667)</f>
        <v>44231.66667</v>
      </c>
      <c r="B2791" s="1">
        <f>IFERROR(__xludf.DUMMYFUNCTION("""COMPUTED_VALUE"""),35.23)</f>
        <v>35.23</v>
      </c>
      <c r="C2791" s="1">
        <f>IFERROR(__xludf.DUMMYFUNCTION("""COMPUTED_VALUE"""),36.24)</f>
        <v>36.24</v>
      </c>
      <c r="D2791" s="1">
        <f>IFERROR(__xludf.DUMMYFUNCTION("""COMPUTED_VALUE"""),34.86)</f>
        <v>34.86</v>
      </c>
      <c r="E2791" s="1">
        <f>IFERROR(__xludf.DUMMYFUNCTION("""COMPUTED_VALUE"""),35.95)</f>
        <v>35.95</v>
      </c>
      <c r="F2791" s="1">
        <f>IFERROR(__xludf.DUMMYFUNCTION("""COMPUTED_VALUE"""),404631.0)</f>
        <v>404631</v>
      </c>
    </row>
    <row r="2792">
      <c r="A2792" s="2">
        <f>IFERROR(__xludf.DUMMYFUNCTION("""COMPUTED_VALUE"""),44232.66666666667)</f>
        <v>44232.66667</v>
      </c>
      <c r="B2792" s="1">
        <f>IFERROR(__xludf.DUMMYFUNCTION("""COMPUTED_VALUE"""),36.24)</f>
        <v>36.24</v>
      </c>
      <c r="C2792" s="1">
        <f>IFERROR(__xludf.DUMMYFUNCTION("""COMPUTED_VALUE"""),36.26)</f>
        <v>36.26</v>
      </c>
      <c r="D2792" s="1">
        <f>IFERROR(__xludf.DUMMYFUNCTION("""COMPUTED_VALUE"""),35.57)</f>
        <v>35.57</v>
      </c>
      <c r="E2792" s="1">
        <f>IFERROR(__xludf.DUMMYFUNCTION("""COMPUTED_VALUE"""),36.18)</f>
        <v>36.18</v>
      </c>
      <c r="F2792" s="1">
        <f>IFERROR(__xludf.DUMMYFUNCTION("""COMPUTED_VALUE"""),306050.0)</f>
        <v>306050</v>
      </c>
    </row>
    <row r="2793">
      <c r="A2793" s="2">
        <f>IFERROR(__xludf.DUMMYFUNCTION("""COMPUTED_VALUE"""),44235.66666666667)</f>
        <v>44235.66667</v>
      </c>
      <c r="B2793" s="1">
        <f>IFERROR(__xludf.DUMMYFUNCTION("""COMPUTED_VALUE"""),36.51)</f>
        <v>36.51</v>
      </c>
      <c r="C2793" s="1">
        <f>IFERROR(__xludf.DUMMYFUNCTION("""COMPUTED_VALUE"""),37.19)</f>
        <v>37.19</v>
      </c>
      <c r="D2793" s="1">
        <f>IFERROR(__xludf.DUMMYFUNCTION("""COMPUTED_VALUE"""),35.48)</f>
        <v>35.48</v>
      </c>
      <c r="E2793" s="1">
        <f>IFERROR(__xludf.DUMMYFUNCTION("""COMPUTED_VALUE"""),37.19)</f>
        <v>37.19</v>
      </c>
      <c r="F2793" s="1">
        <f>IFERROR(__xludf.DUMMYFUNCTION("""COMPUTED_VALUE"""),351807.0)</f>
        <v>351807</v>
      </c>
    </row>
    <row r="2794">
      <c r="A2794" s="2">
        <f>IFERROR(__xludf.DUMMYFUNCTION("""COMPUTED_VALUE"""),44236.66666666667)</f>
        <v>44236.66667</v>
      </c>
      <c r="B2794" s="1">
        <f>IFERROR(__xludf.DUMMYFUNCTION("""COMPUTED_VALUE"""),37.14)</f>
        <v>37.14</v>
      </c>
      <c r="C2794" s="1">
        <f>IFERROR(__xludf.DUMMYFUNCTION("""COMPUTED_VALUE"""),37.81)</f>
        <v>37.81</v>
      </c>
      <c r="D2794" s="1">
        <f>IFERROR(__xludf.DUMMYFUNCTION("""COMPUTED_VALUE"""),36.95)</f>
        <v>36.95</v>
      </c>
      <c r="E2794" s="1">
        <f>IFERROR(__xludf.DUMMYFUNCTION("""COMPUTED_VALUE"""),37.55)</f>
        <v>37.55</v>
      </c>
      <c r="F2794" s="1">
        <f>IFERROR(__xludf.DUMMYFUNCTION("""COMPUTED_VALUE"""),352541.0)</f>
        <v>352541</v>
      </c>
    </row>
    <row r="2795">
      <c r="A2795" s="2">
        <f>IFERROR(__xludf.DUMMYFUNCTION("""COMPUTED_VALUE"""),44237.66666666667)</f>
        <v>44237.66667</v>
      </c>
      <c r="B2795" s="1">
        <f>IFERROR(__xludf.DUMMYFUNCTION("""COMPUTED_VALUE"""),37.76)</f>
        <v>37.76</v>
      </c>
      <c r="C2795" s="1">
        <f>IFERROR(__xludf.DUMMYFUNCTION("""COMPUTED_VALUE"""),37.76)</f>
        <v>37.76</v>
      </c>
      <c r="D2795" s="1">
        <f>IFERROR(__xludf.DUMMYFUNCTION("""COMPUTED_VALUE"""),37.02)</f>
        <v>37.02</v>
      </c>
      <c r="E2795" s="1">
        <f>IFERROR(__xludf.DUMMYFUNCTION("""COMPUTED_VALUE"""),37.18)</f>
        <v>37.18</v>
      </c>
      <c r="F2795" s="1">
        <f>IFERROR(__xludf.DUMMYFUNCTION("""COMPUTED_VALUE"""),466660.0)</f>
        <v>466660</v>
      </c>
    </row>
    <row r="2796">
      <c r="A2796" s="2">
        <f>IFERROR(__xludf.DUMMYFUNCTION("""COMPUTED_VALUE"""),44238.66666666667)</f>
        <v>44238.66667</v>
      </c>
      <c r="B2796" s="1">
        <f>IFERROR(__xludf.DUMMYFUNCTION("""COMPUTED_VALUE"""),37.07)</f>
        <v>37.07</v>
      </c>
      <c r="C2796" s="1">
        <f>IFERROR(__xludf.DUMMYFUNCTION("""COMPUTED_VALUE"""),37.51)</f>
        <v>37.51</v>
      </c>
      <c r="D2796" s="1">
        <f>IFERROR(__xludf.DUMMYFUNCTION("""COMPUTED_VALUE"""),36.49)</f>
        <v>36.49</v>
      </c>
      <c r="E2796" s="1">
        <f>IFERROR(__xludf.DUMMYFUNCTION("""COMPUTED_VALUE"""),37.24)</f>
        <v>37.24</v>
      </c>
      <c r="F2796" s="1">
        <f>IFERROR(__xludf.DUMMYFUNCTION("""COMPUTED_VALUE"""),606072.0)</f>
        <v>606072</v>
      </c>
    </row>
    <row r="2797">
      <c r="A2797" s="2">
        <f>IFERROR(__xludf.DUMMYFUNCTION("""COMPUTED_VALUE"""),44239.66666666667)</f>
        <v>44239.66667</v>
      </c>
      <c r="B2797" s="1">
        <f>IFERROR(__xludf.DUMMYFUNCTION("""COMPUTED_VALUE"""),37.02)</f>
        <v>37.02</v>
      </c>
      <c r="C2797" s="1">
        <f>IFERROR(__xludf.DUMMYFUNCTION("""COMPUTED_VALUE"""),37.67)</f>
        <v>37.67</v>
      </c>
      <c r="D2797" s="1">
        <f>IFERROR(__xludf.DUMMYFUNCTION("""COMPUTED_VALUE"""),36.45)</f>
        <v>36.45</v>
      </c>
      <c r="E2797" s="1">
        <f>IFERROR(__xludf.DUMMYFUNCTION("""COMPUTED_VALUE"""),37.42)</f>
        <v>37.42</v>
      </c>
      <c r="F2797" s="1">
        <f>IFERROR(__xludf.DUMMYFUNCTION("""COMPUTED_VALUE"""),290811.0)</f>
        <v>290811</v>
      </c>
    </row>
    <row r="2798">
      <c r="A2798" s="2">
        <f>IFERROR(__xludf.DUMMYFUNCTION("""COMPUTED_VALUE"""),44243.66666666667)</f>
        <v>44243.66667</v>
      </c>
      <c r="B2798" s="1">
        <f>IFERROR(__xludf.DUMMYFUNCTION("""COMPUTED_VALUE"""),37.95)</f>
        <v>37.95</v>
      </c>
      <c r="C2798" s="1">
        <f>IFERROR(__xludf.DUMMYFUNCTION("""COMPUTED_VALUE"""),38.19)</f>
        <v>38.19</v>
      </c>
      <c r="D2798" s="1">
        <f>IFERROR(__xludf.DUMMYFUNCTION("""COMPUTED_VALUE"""),37.35)</f>
        <v>37.35</v>
      </c>
      <c r="E2798" s="1">
        <f>IFERROR(__xludf.DUMMYFUNCTION("""COMPUTED_VALUE"""),37.71)</f>
        <v>37.71</v>
      </c>
      <c r="F2798" s="1">
        <f>IFERROR(__xludf.DUMMYFUNCTION("""COMPUTED_VALUE"""),334826.0)</f>
        <v>334826</v>
      </c>
    </row>
    <row r="2799">
      <c r="A2799" s="2">
        <f>IFERROR(__xludf.DUMMYFUNCTION("""COMPUTED_VALUE"""),44244.66666666667)</f>
        <v>44244.66667</v>
      </c>
      <c r="B2799" s="1">
        <f>IFERROR(__xludf.DUMMYFUNCTION("""COMPUTED_VALUE"""),37.53)</f>
        <v>37.53</v>
      </c>
      <c r="C2799" s="1">
        <f>IFERROR(__xludf.DUMMYFUNCTION("""COMPUTED_VALUE"""),37.98)</f>
        <v>37.98</v>
      </c>
      <c r="D2799" s="1">
        <f>IFERROR(__xludf.DUMMYFUNCTION("""COMPUTED_VALUE"""),37.22)</f>
        <v>37.22</v>
      </c>
      <c r="E2799" s="1">
        <f>IFERROR(__xludf.DUMMYFUNCTION("""COMPUTED_VALUE"""),37.73)</f>
        <v>37.73</v>
      </c>
      <c r="F2799" s="1">
        <f>IFERROR(__xludf.DUMMYFUNCTION("""COMPUTED_VALUE"""),200964.0)</f>
        <v>200964</v>
      </c>
    </row>
    <row r="2800">
      <c r="A2800" s="2">
        <f>IFERROR(__xludf.DUMMYFUNCTION("""COMPUTED_VALUE"""),44245.66666666667)</f>
        <v>44245.66667</v>
      </c>
      <c r="B2800" s="1">
        <f>IFERROR(__xludf.DUMMYFUNCTION("""COMPUTED_VALUE"""),37.61)</f>
        <v>37.61</v>
      </c>
      <c r="C2800" s="1">
        <f>IFERROR(__xludf.DUMMYFUNCTION("""COMPUTED_VALUE"""),37.99)</f>
        <v>37.99</v>
      </c>
      <c r="D2800" s="1">
        <f>IFERROR(__xludf.DUMMYFUNCTION("""COMPUTED_VALUE"""),37.32)</f>
        <v>37.32</v>
      </c>
      <c r="E2800" s="1">
        <f>IFERROR(__xludf.DUMMYFUNCTION("""COMPUTED_VALUE"""),37.47)</f>
        <v>37.47</v>
      </c>
      <c r="F2800" s="1">
        <f>IFERROR(__xludf.DUMMYFUNCTION("""COMPUTED_VALUE"""),195849.0)</f>
        <v>195849</v>
      </c>
    </row>
    <row r="2801">
      <c r="A2801" s="2">
        <f>IFERROR(__xludf.DUMMYFUNCTION("""COMPUTED_VALUE"""),44246.66666666667)</f>
        <v>44246.66667</v>
      </c>
      <c r="B2801" s="1">
        <f>IFERROR(__xludf.DUMMYFUNCTION("""COMPUTED_VALUE"""),37.76)</f>
        <v>37.76</v>
      </c>
      <c r="C2801" s="1">
        <f>IFERROR(__xludf.DUMMYFUNCTION("""COMPUTED_VALUE"""),38.69)</f>
        <v>38.69</v>
      </c>
      <c r="D2801" s="1">
        <f>IFERROR(__xludf.DUMMYFUNCTION("""COMPUTED_VALUE"""),37.34)</f>
        <v>37.34</v>
      </c>
      <c r="E2801" s="1">
        <f>IFERROR(__xludf.DUMMYFUNCTION("""COMPUTED_VALUE"""),38.6)</f>
        <v>38.6</v>
      </c>
      <c r="F2801" s="1">
        <f>IFERROR(__xludf.DUMMYFUNCTION("""COMPUTED_VALUE"""),224567.0)</f>
        <v>224567</v>
      </c>
    </row>
    <row r="2802">
      <c r="A2802" s="2">
        <f>IFERROR(__xludf.DUMMYFUNCTION("""COMPUTED_VALUE"""),44249.66666666667)</f>
        <v>44249.66667</v>
      </c>
      <c r="B2802" s="1">
        <f>IFERROR(__xludf.DUMMYFUNCTION("""COMPUTED_VALUE"""),38.7)</f>
        <v>38.7</v>
      </c>
      <c r="C2802" s="1">
        <f>IFERROR(__xludf.DUMMYFUNCTION("""COMPUTED_VALUE"""),39.65)</f>
        <v>39.65</v>
      </c>
      <c r="D2802" s="1">
        <f>IFERROR(__xludf.DUMMYFUNCTION("""COMPUTED_VALUE"""),38.54)</f>
        <v>38.54</v>
      </c>
      <c r="E2802" s="1">
        <f>IFERROR(__xludf.DUMMYFUNCTION("""COMPUTED_VALUE"""),39.48)</f>
        <v>39.48</v>
      </c>
      <c r="F2802" s="1">
        <f>IFERROR(__xludf.DUMMYFUNCTION("""COMPUTED_VALUE"""),309801.0)</f>
        <v>309801</v>
      </c>
    </row>
    <row r="2803">
      <c r="A2803" s="2">
        <f>IFERROR(__xludf.DUMMYFUNCTION("""COMPUTED_VALUE"""),44250.66666666667)</f>
        <v>44250.66667</v>
      </c>
      <c r="B2803" s="1">
        <f>IFERROR(__xludf.DUMMYFUNCTION("""COMPUTED_VALUE"""),39.87)</f>
        <v>39.87</v>
      </c>
      <c r="C2803" s="1">
        <f>IFERROR(__xludf.DUMMYFUNCTION("""COMPUTED_VALUE"""),40.48)</f>
        <v>40.48</v>
      </c>
      <c r="D2803" s="1">
        <f>IFERROR(__xludf.DUMMYFUNCTION("""COMPUTED_VALUE"""),39.41)</f>
        <v>39.41</v>
      </c>
      <c r="E2803" s="1">
        <f>IFERROR(__xludf.DUMMYFUNCTION("""COMPUTED_VALUE"""),40.05)</f>
        <v>40.05</v>
      </c>
      <c r="F2803" s="1">
        <f>IFERROR(__xludf.DUMMYFUNCTION("""COMPUTED_VALUE"""),273155.0)</f>
        <v>273155</v>
      </c>
    </row>
    <row r="2804">
      <c r="A2804" s="2">
        <f>IFERROR(__xludf.DUMMYFUNCTION("""COMPUTED_VALUE"""),44251.66666666667)</f>
        <v>44251.66667</v>
      </c>
      <c r="B2804" s="1">
        <f>IFERROR(__xludf.DUMMYFUNCTION("""COMPUTED_VALUE"""),40.37)</f>
        <v>40.37</v>
      </c>
      <c r="C2804" s="1">
        <f>IFERROR(__xludf.DUMMYFUNCTION("""COMPUTED_VALUE"""),41.0)</f>
        <v>41</v>
      </c>
      <c r="D2804" s="1">
        <f>IFERROR(__xludf.DUMMYFUNCTION("""COMPUTED_VALUE"""),39.52)</f>
        <v>39.52</v>
      </c>
      <c r="E2804" s="1">
        <f>IFERROR(__xludf.DUMMYFUNCTION("""COMPUTED_VALUE"""),40.9)</f>
        <v>40.9</v>
      </c>
      <c r="F2804" s="1">
        <f>IFERROR(__xludf.DUMMYFUNCTION("""COMPUTED_VALUE"""),384872.0)</f>
        <v>384872</v>
      </c>
    </row>
    <row r="2805">
      <c r="A2805" s="2">
        <f>IFERROR(__xludf.DUMMYFUNCTION("""COMPUTED_VALUE"""),44252.66666666667)</f>
        <v>44252.66667</v>
      </c>
      <c r="B2805" s="1">
        <f>IFERROR(__xludf.DUMMYFUNCTION("""COMPUTED_VALUE"""),41.15)</f>
        <v>41.15</v>
      </c>
      <c r="C2805" s="1">
        <f>IFERROR(__xludf.DUMMYFUNCTION("""COMPUTED_VALUE"""),41.2)</f>
        <v>41.2</v>
      </c>
      <c r="D2805" s="1">
        <f>IFERROR(__xludf.DUMMYFUNCTION("""COMPUTED_VALUE"""),39.24)</f>
        <v>39.24</v>
      </c>
      <c r="E2805" s="1">
        <f>IFERROR(__xludf.DUMMYFUNCTION("""COMPUTED_VALUE"""),39.26)</f>
        <v>39.26</v>
      </c>
      <c r="F2805" s="1">
        <f>IFERROR(__xludf.DUMMYFUNCTION("""COMPUTED_VALUE"""),502348.0)</f>
        <v>502348</v>
      </c>
    </row>
    <row r="2806">
      <c r="A2806" s="2">
        <f>IFERROR(__xludf.DUMMYFUNCTION("""COMPUTED_VALUE"""),44253.66666666667)</f>
        <v>44253.66667</v>
      </c>
      <c r="B2806" s="1">
        <f>IFERROR(__xludf.DUMMYFUNCTION("""COMPUTED_VALUE"""),38.56)</f>
        <v>38.56</v>
      </c>
      <c r="C2806" s="1">
        <f>IFERROR(__xludf.DUMMYFUNCTION("""COMPUTED_VALUE"""),38.84)</f>
        <v>38.84</v>
      </c>
      <c r="D2806" s="1">
        <f>IFERROR(__xludf.DUMMYFUNCTION("""COMPUTED_VALUE"""),37.47)</f>
        <v>37.47</v>
      </c>
      <c r="E2806" s="1">
        <f>IFERROR(__xludf.DUMMYFUNCTION("""COMPUTED_VALUE"""),37.64)</f>
        <v>37.64</v>
      </c>
      <c r="F2806" s="1">
        <f>IFERROR(__xludf.DUMMYFUNCTION("""COMPUTED_VALUE"""),468752.0)</f>
        <v>468752</v>
      </c>
    </row>
    <row r="2807">
      <c r="A2807" s="2">
        <f>IFERROR(__xludf.DUMMYFUNCTION("""COMPUTED_VALUE"""),44256.66666666667)</f>
        <v>44256.66667</v>
      </c>
      <c r="B2807" s="1">
        <f>IFERROR(__xludf.DUMMYFUNCTION("""COMPUTED_VALUE"""),38.68)</f>
        <v>38.68</v>
      </c>
      <c r="C2807" s="1">
        <f>IFERROR(__xludf.DUMMYFUNCTION("""COMPUTED_VALUE"""),39.72)</f>
        <v>39.72</v>
      </c>
      <c r="D2807" s="1">
        <f>IFERROR(__xludf.DUMMYFUNCTION("""COMPUTED_VALUE"""),38.36)</f>
        <v>38.36</v>
      </c>
      <c r="E2807" s="1">
        <f>IFERROR(__xludf.DUMMYFUNCTION("""COMPUTED_VALUE"""),39.49)</f>
        <v>39.49</v>
      </c>
      <c r="F2807" s="1">
        <f>IFERROR(__xludf.DUMMYFUNCTION("""COMPUTED_VALUE"""),284504.0)</f>
        <v>284504</v>
      </c>
    </row>
    <row r="2808">
      <c r="A2808" s="2">
        <f>IFERROR(__xludf.DUMMYFUNCTION("""COMPUTED_VALUE"""),44257.66666666667)</f>
        <v>44257.66667</v>
      </c>
      <c r="B2808" s="1">
        <f>IFERROR(__xludf.DUMMYFUNCTION("""COMPUTED_VALUE"""),39.4)</f>
        <v>39.4</v>
      </c>
      <c r="C2808" s="1">
        <f>IFERROR(__xludf.DUMMYFUNCTION("""COMPUTED_VALUE"""),39.67)</f>
        <v>39.67</v>
      </c>
      <c r="D2808" s="1">
        <f>IFERROR(__xludf.DUMMYFUNCTION("""COMPUTED_VALUE"""),38.6)</f>
        <v>38.6</v>
      </c>
      <c r="E2808" s="1">
        <f>IFERROR(__xludf.DUMMYFUNCTION("""COMPUTED_VALUE"""),38.87)</f>
        <v>38.87</v>
      </c>
      <c r="F2808" s="1">
        <f>IFERROR(__xludf.DUMMYFUNCTION("""COMPUTED_VALUE"""),301793.0)</f>
        <v>301793</v>
      </c>
    </row>
    <row r="2809">
      <c r="A2809" s="2">
        <f>IFERROR(__xludf.DUMMYFUNCTION("""COMPUTED_VALUE"""),44258.66666666667)</f>
        <v>44258.66667</v>
      </c>
      <c r="B2809" s="1">
        <f>IFERROR(__xludf.DUMMYFUNCTION("""COMPUTED_VALUE"""),38.85)</f>
        <v>38.85</v>
      </c>
      <c r="C2809" s="1">
        <f>IFERROR(__xludf.DUMMYFUNCTION("""COMPUTED_VALUE"""),40.58)</f>
        <v>40.58</v>
      </c>
      <c r="D2809" s="1">
        <f>IFERROR(__xludf.DUMMYFUNCTION("""COMPUTED_VALUE"""),37.67)</f>
        <v>37.67</v>
      </c>
      <c r="E2809" s="1">
        <f>IFERROR(__xludf.DUMMYFUNCTION("""COMPUTED_VALUE"""),39.77)</f>
        <v>39.77</v>
      </c>
      <c r="F2809" s="1">
        <f>IFERROR(__xludf.DUMMYFUNCTION("""COMPUTED_VALUE"""),405171.0)</f>
        <v>405171</v>
      </c>
    </row>
    <row r="2810">
      <c r="A2810" s="2">
        <f>IFERROR(__xludf.DUMMYFUNCTION("""COMPUTED_VALUE"""),44259.66666666667)</f>
        <v>44259.66667</v>
      </c>
      <c r="B2810" s="1">
        <f>IFERROR(__xludf.DUMMYFUNCTION("""COMPUTED_VALUE"""),40.13)</f>
        <v>40.13</v>
      </c>
      <c r="C2810" s="1">
        <f>IFERROR(__xludf.DUMMYFUNCTION("""COMPUTED_VALUE"""),41.2)</f>
        <v>41.2</v>
      </c>
      <c r="D2810" s="1">
        <f>IFERROR(__xludf.DUMMYFUNCTION("""COMPUTED_VALUE"""),39.75)</f>
        <v>39.75</v>
      </c>
      <c r="E2810" s="1">
        <f>IFERROR(__xludf.DUMMYFUNCTION("""COMPUTED_VALUE"""),40.23)</f>
        <v>40.23</v>
      </c>
      <c r="F2810" s="1">
        <f>IFERROR(__xludf.DUMMYFUNCTION("""COMPUTED_VALUE"""),637573.0)</f>
        <v>637573</v>
      </c>
    </row>
    <row r="2811">
      <c r="A2811" s="2">
        <f>IFERROR(__xludf.DUMMYFUNCTION("""COMPUTED_VALUE"""),44260.66666666667)</f>
        <v>44260.66667</v>
      </c>
      <c r="B2811" s="1">
        <f>IFERROR(__xludf.DUMMYFUNCTION("""COMPUTED_VALUE"""),41.21)</f>
        <v>41.21</v>
      </c>
      <c r="C2811" s="1">
        <f>IFERROR(__xludf.DUMMYFUNCTION("""COMPUTED_VALUE"""),42.07)</f>
        <v>42.07</v>
      </c>
      <c r="D2811" s="1">
        <f>IFERROR(__xludf.DUMMYFUNCTION("""COMPUTED_VALUE"""),40.45)</f>
        <v>40.45</v>
      </c>
      <c r="E2811" s="1">
        <f>IFERROR(__xludf.DUMMYFUNCTION("""COMPUTED_VALUE"""),41.95)</f>
        <v>41.95</v>
      </c>
      <c r="F2811" s="1">
        <f>IFERROR(__xludf.DUMMYFUNCTION("""COMPUTED_VALUE"""),452045.0)</f>
        <v>452045</v>
      </c>
    </row>
    <row r="2812">
      <c r="A2812" s="2">
        <f>IFERROR(__xludf.DUMMYFUNCTION("""COMPUTED_VALUE"""),44263.66666666667)</f>
        <v>44263.66667</v>
      </c>
      <c r="B2812" s="1">
        <f>IFERROR(__xludf.DUMMYFUNCTION("""COMPUTED_VALUE"""),42.71)</f>
        <v>42.71</v>
      </c>
      <c r="C2812" s="1">
        <f>IFERROR(__xludf.DUMMYFUNCTION("""COMPUTED_VALUE"""),43.89)</f>
        <v>43.89</v>
      </c>
      <c r="D2812" s="1">
        <f>IFERROR(__xludf.DUMMYFUNCTION("""COMPUTED_VALUE"""),42.21)</f>
        <v>42.21</v>
      </c>
      <c r="E2812" s="1">
        <f>IFERROR(__xludf.DUMMYFUNCTION("""COMPUTED_VALUE"""),43.58)</f>
        <v>43.58</v>
      </c>
      <c r="F2812" s="1">
        <f>IFERROR(__xludf.DUMMYFUNCTION("""COMPUTED_VALUE"""),314289.0)</f>
        <v>314289</v>
      </c>
    </row>
    <row r="2813">
      <c r="A2813" s="2">
        <f>IFERROR(__xludf.DUMMYFUNCTION("""COMPUTED_VALUE"""),44264.66666666667)</f>
        <v>44264.66667</v>
      </c>
      <c r="B2813" s="1">
        <f>IFERROR(__xludf.DUMMYFUNCTION("""COMPUTED_VALUE"""),43.26)</f>
        <v>43.26</v>
      </c>
      <c r="C2813" s="1">
        <f>IFERROR(__xludf.DUMMYFUNCTION("""COMPUTED_VALUE"""),43.42)</f>
        <v>43.42</v>
      </c>
      <c r="D2813" s="1">
        <f>IFERROR(__xludf.DUMMYFUNCTION("""COMPUTED_VALUE"""),41.95)</f>
        <v>41.95</v>
      </c>
      <c r="E2813" s="1">
        <f>IFERROR(__xludf.DUMMYFUNCTION("""COMPUTED_VALUE"""),42.26)</f>
        <v>42.26</v>
      </c>
      <c r="F2813" s="1">
        <f>IFERROR(__xludf.DUMMYFUNCTION("""COMPUTED_VALUE"""),401204.0)</f>
        <v>401204</v>
      </c>
    </row>
    <row r="2814">
      <c r="A2814" s="2">
        <f>IFERROR(__xludf.DUMMYFUNCTION("""COMPUTED_VALUE"""),44265.66666666667)</f>
        <v>44265.66667</v>
      </c>
      <c r="B2814" s="1">
        <f>IFERROR(__xludf.DUMMYFUNCTION("""COMPUTED_VALUE"""),42.27)</f>
        <v>42.27</v>
      </c>
      <c r="C2814" s="1">
        <f>IFERROR(__xludf.DUMMYFUNCTION("""COMPUTED_VALUE"""),43.45)</f>
        <v>43.45</v>
      </c>
      <c r="D2814" s="1">
        <f>IFERROR(__xludf.DUMMYFUNCTION("""COMPUTED_VALUE"""),42.27)</f>
        <v>42.27</v>
      </c>
      <c r="E2814" s="1">
        <f>IFERROR(__xludf.DUMMYFUNCTION("""COMPUTED_VALUE"""),43.2)</f>
        <v>43.2</v>
      </c>
      <c r="F2814" s="1">
        <f>IFERROR(__xludf.DUMMYFUNCTION("""COMPUTED_VALUE"""),495217.0)</f>
        <v>495217</v>
      </c>
    </row>
    <row r="2815">
      <c r="A2815" s="2">
        <f>IFERROR(__xludf.DUMMYFUNCTION("""COMPUTED_VALUE"""),44266.66666666667)</f>
        <v>44266.66667</v>
      </c>
      <c r="B2815" s="1">
        <f>IFERROR(__xludf.DUMMYFUNCTION("""COMPUTED_VALUE"""),43.02)</f>
        <v>43.02</v>
      </c>
      <c r="C2815" s="1">
        <f>IFERROR(__xludf.DUMMYFUNCTION("""COMPUTED_VALUE"""),43.76)</f>
        <v>43.76</v>
      </c>
      <c r="D2815" s="1">
        <f>IFERROR(__xludf.DUMMYFUNCTION("""COMPUTED_VALUE"""),42.94)</f>
        <v>42.94</v>
      </c>
      <c r="E2815" s="1">
        <f>IFERROR(__xludf.DUMMYFUNCTION("""COMPUTED_VALUE"""),43.6)</f>
        <v>43.6</v>
      </c>
      <c r="F2815" s="1">
        <f>IFERROR(__xludf.DUMMYFUNCTION("""COMPUTED_VALUE"""),371010.0)</f>
        <v>371010</v>
      </c>
    </row>
    <row r="2816">
      <c r="A2816" s="2">
        <f>IFERROR(__xludf.DUMMYFUNCTION("""COMPUTED_VALUE"""),44267.66666666667)</f>
        <v>44267.66667</v>
      </c>
      <c r="B2816" s="1">
        <f>IFERROR(__xludf.DUMMYFUNCTION("""COMPUTED_VALUE"""),44.57)</f>
        <v>44.57</v>
      </c>
      <c r="C2816" s="1">
        <f>IFERROR(__xludf.DUMMYFUNCTION("""COMPUTED_VALUE"""),44.94)</f>
        <v>44.94</v>
      </c>
      <c r="D2816" s="1">
        <f>IFERROR(__xludf.DUMMYFUNCTION("""COMPUTED_VALUE"""),43.98)</f>
        <v>43.98</v>
      </c>
      <c r="E2816" s="1">
        <f>IFERROR(__xludf.DUMMYFUNCTION("""COMPUTED_VALUE"""),44.92)</f>
        <v>44.92</v>
      </c>
      <c r="F2816" s="1">
        <f>IFERROR(__xludf.DUMMYFUNCTION("""COMPUTED_VALUE"""),309737.0)</f>
        <v>309737</v>
      </c>
    </row>
    <row r="2817">
      <c r="A2817" s="2">
        <f>IFERROR(__xludf.DUMMYFUNCTION("""COMPUTED_VALUE"""),44270.66666666667)</f>
        <v>44270.66667</v>
      </c>
      <c r="B2817" s="1">
        <f>IFERROR(__xludf.DUMMYFUNCTION("""COMPUTED_VALUE"""),44.56)</f>
        <v>44.56</v>
      </c>
      <c r="C2817" s="1">
        <f>IFERROR(__xludf.DUMMYFUNCTION("""COMPUTED_VALUE"""),44.88)</f>
        <v>44.88</v>
      </c>
      <c r="D2817" s="1">
        <f>IFERROR(__xludf.DUMMYFUNCTION("""COMPUTED_VALUE"""),42.8)</f>
        <v>42.8</v>
      </c>
      <c r="E2817" s="1">
        <f>IFERROR(__xludf.DUMMYFUNCTION("""COMPUTED_VALUE"""),43.37)</f>
        <v>43.37</v>
      </c>
      <c r="F2817" s="1">
        <f>IFERROR(__xludf.DUMMYFUNCTION("""COMPUTED_VALUE"""),305613.0)</f>
        <v>305613</v>
      </c>
    </row>
    <row r="2818">
      <c r="A2818" s="2">
        <f>IFERROR(__xludf.DUMMYFUNCTION("""COMPUTED_VALUE"""),44271.66666666667)</f>
        <v>44271.66667</v>
      </c>
      <c r="B2818" s="1">
        <f>IFERROR(__xludf.DUMMYFUNCTION("""COMPUTED_VALUE"""),43.46)</f>
        <v>43.46</v>
      </c>
      <c r="C2818" s="1">
        <f>IFERROR(__xludf.DUMMYFUNCTION("""COMPUTED_VALUE"""),43.46)</f>
        <v>43.46</v>
      </c>
      <c r="D2818" s="1">
        <f>IFERROR(__xludf.DUMMYFUNCTION("""COMPUTED_VALUE"""),42.44)</f>
        <v>42.44</v>
      </c>
      <c r="E2818" s="1">
        <f>IFERROR(__xludf.DUMMYFUNCTION("""COMPUTED_VALUE"""),43.31)</f>
        <v>43.31</v>
      </c>
      <c r="F2818" s="1">
        <f>IFERROR(__xludf.DUMMYFUNCTION("""COMPUTED_VALUE"""),246530.0)</f>
        <v>246530</v>
      </c>
    </row>
    <row r="2819">
      <c r="A2819" s="2">
        <f>IFERROR(__xludf.DUMMYFUNCTION("""COMPUTED_VALUE"""),44272.66666666667)</f>
        <v>44272.66667</v>
      </c>
      <c r="B2819" s="1">
        <f>IFERROR(__xludf.DUMMYFUNCTION("""COMPUTED_VALUE"""),43.81)</f>
        <v>43.81</v>
      </c>
      <c r="C2819" s="1">
        <f>IFERROR(__xludf.DUMMYFUNCTION("""COMPUTED_VALUE"""),43.84)</f>
        <v>43.84</v>
      </c>
      <c r="D2819" s="1">
        <f>IFERROR(__xludf.DUMMYFUNCTION("""COMPUTED_VALUE"""),42.91)</f>
        <v>42.91</v>
      </c>
      <c r="E2819" s="1">
        <f>IFERROR(__xludf.DUMMYFUNCTION("""COMPUTED_VALUE"""),43.36)</f>
        <v>43.36</v>
      </c>
      <c r="F2819" s="1">
        <f>IFERROR(__xludf.DUMMYFUNCTION("""COMPUTED_VALUE"""),312479.0)</f>
        <v>312479</v>
      </c>
    </row>
    <row r="2820">
      <c r="A2820" s="2">
        <f>IFERROR(__xludf.DUMMYFUNCTION("""COMPUTED_VALUE"""),44273.66666666667)</f>
        <v>44273.66667</v>
      </c>
      <c r="B2820" s="1">
        <f>IFERROR(__xludf.DUMMYFUNCTION("""COMPUTED_VALUE"""),43.84)</f>
        <v>43.84</v>
      </c>
      <c r="C2820" s="1">
        <f>IFERROR(__xludf.DUMMYFUNCTION("""COMPUTED_VALUE"""),45.19)</f>
        <v>45.19</v>
      </c>
      <c r="D2820" s="1">
        <f>IFERROR(__xludf.DUMMYFUNCTION("""COMPUTED_VALUE"""),43.32)</f>
        <v>43.32</v>
      </c>
      <c r="E2820" s="1">
        <f>IFERROR(__xludf.DUMMYFUNCTION("""COMPUTED_VALUE"""),43.51)</f>
        <v>43.51</v>
      </c>
      <c r="F2820" s="1">
        <f>IFERROR(__xludf.DUMMYFUNCTION("""COMPUTED_VALUE"""),322789.0)</f>
        <v>322789</v>
      </c>
    </row>
    <row r="2821">
      <c r="A2821" s="2">
        <f>IFERROR(__xludf.DUMMYFUNCTION("""COMPUTED_VALUE"""),44274.66666666667)</f>
        <v>44274.66667</v>
      </c>
      <c r="B2821" s="1">
        <f>IFERROR(__xludf.DUMMYFUNCTION("""COMPUTED_VALUE"""),43.8)</f>
        <v>43.8</v>
      </c>
      <c r="C2821" s="1">
        <f>IFERROR(__xludf.DUMMYFUNCTION("""COMPUTED_VALUE"""),43.92)</f>
        <v>43.92</v>
      </c>
      <c r="D2821" s="1">
        <f>IFERROR(__xludf.DUMMYFUNCTION("""COMPUTED_VALUE"""),42.93)</f>
        <v>42.93</v>
      </c>
      <c r="E2821" s="1">
        <f>IFERROR(__xludf.DUMMYFUNCTION("""COMPUTED_VALUE"""),43.31)</f>
        <v>43.31</v>
      </c>
      <c r="F2821" s="1">
        <f>IFERROR(__xludf.DUMMYFUNCTION("""COMPUTED_VALUE"""),1706919.0)</f>
        <v>1706919</v>
      </c>
    </row>
    <row r="2822">
      <c r="A2822" s="2">
        <f>IFERROR(__xludf.DUMMYFUNCTION("""COMPUTED_VALUE"""),44277.66666666667)</f>
        <v>44277.66667</v>
      </c>
      <c r="B2822" s="1">
        <f>IFERROR(__xludf.DUMMYFUNCTION("""COMPUTED_VALUE"""),42.81)</f>
        <v>42.81</v>
      </c>
      <c r="C2822" s="1">
        <f>IFERROR(__xludf.DUMMYFUNCTION("""COMPUTED_VALUE"""),43.05)</f>
        <v>43.05</v>
      </c>
      <c r="D2822" s="1">
        <f>IFERROR(__xludf.DUMMYFUNCTION("""COMPUTED_VALUE"""),41.44)</f>
        <v>41.44</v>
      </c>
      <c r="E2822" s="1">
        <f>IFERROR(__xludf.DUMMYFUNCTION("""COMPUTED_VALUE"""),41.76)</f>
        <v>41.76</v>
      </c>
      <c r="F2822" s="1">
        <f>IFERROR(__xludf.DUMMYFUNCTION("""COMPUTED_VALUE"""),266472.0)</f>
        <v>266472</v>
      </c>
    </row>
    <row r="2823">
      <c r="A2823" s="2">
        <f>IFERROR(__xludf.DUMMYFUNCTION("""COMPUTED_VALUE"""),44278.66666666667)</f>
        <v>44278.66667</v>
      </c>
      <c r="B2823" s="1">
        <f>IFERROR(__xludf.DUMMYFUNCTION("""COMPUTED_VALUE"""),41.32)</f>
        <v>41.32</v>
      </c>
      <c r="C2823" s="1">
        <f>IFERROR(__xludf.DUMMYFUNCTION("""COMPUTED_VALUE"""),41.78)</f>
        <v>41.78</v>
      </c>
      <c r="D2823" s="1">
        <f>IFERROR(__xludf.DUMMYFUNCTION("""COMPUTED_VALUE"""),40.61)</f>
        <v>40.61</v>
      </c>
      <c r="E2823" s="1">
        <f>IFERROR(__xludf.DUMMYFUNCTION("""COMPUTED_VALUE"""),40.83)</f>
        <v>40.83</v>
      </c>
      <c r="F2823" s="1">
        <f>IFERROR(__xludf.DUMMYFUNCTION("""COMPUTED_VALUE"""),441376.0)</f>
        <v>441376</v>
      </c>
    </row>
    <row r="2824">
      <c r="A2824" s="2">
        <f>IFERROR(__xludf.DUMMYFUNCTION("""COMPUTED_VALUE"""),44279.66666666667)</f>
        <v>44279.66667</v>
      </c>
      <c r="B2824" s="1">
        <f>IFERROR(__xludf.DUMMYFUNCTION("""COMPUTED_VALUE"""),41.3)</f>
        <v>41.3</v>
      </c>
      <c r="C2824" s="1">
        <f>IFERROR(__xludf.DUMMYFUNCTION("""COMPUTED_VALUE"""),42.56)</f>
        <v>42.56</v>
      </c>
      <c r="D2824" s="1">
        <f>IFERROR(__xludf.DUMMYFUNCTION("""COMPUTED_VALUE"""),40.34)</f>
        <v>40.34</v>
      </c>
      <c r="E2824" s="1">
        <f>IFERROR(__xludf.DUMMYFUNCTION("""COMPUTED_VALUE"""),40.44)</f>
        <v>40.44</v>
      </c>
      <c r="F2824" s="1">
        <f>IFERROR(__xludf.DUMMYFUNCTION("""COMPUTED_VALUE"""),390417.0)</f>
        <v>390417</v>
      </c>
    </row>
    <row r="2825">
      <c r="A2825" s="2">
        <f>IFERROR(__xludf.DUMMYFUNCTION("""COMPUTED_VALUE"""),44280.66666666667)</f>
        <v>44280.66667</v>
      </c>
      <c r="B2825" s="1">
        <f>IFERROR(__xludf.DUMMYFUNCTION("""COMPUTED_VALUE"""),40.16)</f>
        <v>40.16</v>
      </c>
      <c r="C2825" s="1">
        <f>IFERROR(__xludf.DUMMYFUNCTION("""COMPUTED_VALUE"""),40.97)</f>
        <v>40.97</v>
      </c>
      <c r="D2825" s="1">
        <f>IFERROR(__xludf.DUMMYFUNCTION("""COMPUTED_VALUE"""),39.69)</f>
        <v>39.69</v>
      </c>
      <c r="E2825" s="1">
        <f>IFERROR(__xludf.DUMMYFUNCTION("""COMPUTED_VALUE"""),40.74)</f>
        <v>40.74</v>
      </c>
      <c r="F2825" s="1">
        <f>IFERROR(__xludf.DUMMYFUNCTION("""COMPUTED_VALUE"""),727132.0)</f>
        <v>727132</v>
      </c>
    </row>
    <row r="2826">
      <c r="A2826" s="2">
        <f>IFERROR(__xludf.DUMMYFUNCTION("""COMPUTED_VALUE"""),44281.66666666667)</f>
        <v>44281.66667</v>
      </c>
      <c r="B2826" s="1">
        <f>IFERROR(__xludf.DUMMYFUNCTION("""COMPUTED_VALUE"""),41.38)</f>
        <v>41.38</v>
      </c>
      <c r="C2826" s="1">
        <f>IFERROR(__xludf.DUMMYFUNCTION("""COMPUTED_VALUE"""),41.92)</f>
        <v>41.92</v>
      </c>
      <c r="D2826" s="1">
        <f>IFERROR(__xludf.DUMMYFUNCTION("""COMPUTED_VALUE"""),40.9)</f>
        <v>40.9</v>
      </c>
      <c r="E2826" s="1">
        <f>IFERROR(__xludf.DUMMYFUNCTION("""COMPUTED_VALUE"""),41.89)</f>
        <v>41.89</v>
      </c>
      <c r="F2826" s="1">
        <f>IFERROR(__xludf.DUMMYFUNCTION("""COMPUTED_VALUE"""),317693.0)</f>
        <v>317693</v>
      </c>
    </row>
    <row r="2827">
      <c r="A2827" s="2">
        <f>IFERROR(__xludf.DUMMYFUNCTION("""COMPUTED_VALUE"""),44284.66666666667)</f>
        <v>44284.66667</v>
      </c>
      <c r="B2827" s="1">
        <f>IFERROR(__xludf.DUMMYFUNCTION("""COMPUTED_VALUE"""),41.03)</f>
        <v>41.03</v>
      </c>
      <c r="C2827" s="1">
        <f>IFERROR(__xludf.DUMMYFUNCTION("""COMPUTED_VALUE"""),41.75)</f>
        <v>41.75</v>
      </c>
      <c r="D2827" s="1">
        <f>IFERROR(__xludf.DUMMYFUNCTION("""COMPUTED_VALUE"""),40.05)</f>
        <v>40.05</v>
      </c>
      <c r="E2827" s="1">
        <f>IFERROR(__xludf.DUMMYFUNCTION("""COMPUTED_VALUE"""),40.46)</f>
        <v>40.46</v>
      </c>
      <c r="F2827" s="1">
        <f>IFERROR(__xludf.DUMMYFUNCTION("""COMPUTED_VALUE"""),924136.0)</f>
        <v>924136</v>
      </c>
    </row>
    <row r="2828">
      <c r="A2828" s="2">
        <f>IFERROR(__xludf.DUMMYFUNCTION("""COMPUTED_VALUE"""),44285.66666666667)</f>
        <v>44285.66667</v>
      </c>
      <c r="B2828" s="1">
        <f>IFERROR(__xludf.DUMMYFUNCTION("""COMPUTED_VALUE"""),40.76)</f>
        <v>40.76</v>
      </c>
      <c r="C2828" s="1">
        <f>IFERROR(__xludf.DUMMYFUNCTION("""COMPUTED_VALUE"""),41.69)</f>
        <v>41.69</v>
      </c>
      <c r="D2828" s="1">
        <f>IFERROR(__xludf.DUMMYFUNCTION("""COMPUTED_VALUE"""),40.56)</f>
        <v>40.56</v>
      </c>
      <c r="E2828" s="1">
        <f>IFERROR(__xludf.DUMMYFUNCTION("""COMPUTED_VALUE"""),41.45)</f>
        <v>41.45</v>
      </c>
      <c r="F2828" s="1">
        <f>IFERROR(__xludf.DUMMYFUNCTION("""COMPUTED_VALUE"""),757325.0)</f>
        <v>757325</v>
      </c>
    </row>
    <row r="2829">
      <c r="A2829" s="2">
        <f>IFERROR(__xludf.DUMMYFUNCTION("""COMPUTED_VALUE"""),44286.66666666667)</f>
        <v>44286.66667</v>
      </c>
      <c r="B2829" s="1">
        <f>IFERROR(__xludf.DUMMYFUNCTION("""COMPUTED_VALUE"""),41.21)</f>
        <v>41.21</v>
      </c>
      <c r="C2829" s="1">
        <f>IFERROR(__xludf.DUMMYFUNCTION("""COMPUTED_VALUE"""),41.57)</f>
        <v>41.57</v>
      </c>
      <c r="D2829" s="1">
        <f>IFERROR(__xludf.DUMMYFUNCTION("""COMPUTED_VALUE"""),40.58)</f>
        <v>40.58</v>
      </c>
      <c r="E2829" s="1">
        <f>IFERROR(__xludf.DUMMYFUNCTION("""COMPUTED_VALUE"""),40.78)</f>
        <v>40.78</v>
      </c>
      <c r="F2829" s="1">
        <f>IFERROR(__xludf.DUMMYFUNCTION("""COMPUTED_VALUE"""),395556.0)</f>
        <v>395556</v>
      </c>
    </row>
    <row r="2830">
      <c r="A2830" s="2">
        <f>IFERROR(__xludf.DUMMYFUNCTION("""COMPUTED_VALUE"""),44287.66666666667)</f>
        <v>44287.66667</v>
      </c>
      <c r="B2830" s="1">
        <f>IFERROR(__xludf.DUMMYFUNCTION("""COMPUTED_VALUE"""),40.79)</f>
        <v>40.79</v>
      </c>
      <c r="C2830" s="1">
        <f>IFERROR(__xludf.DUMMYFUNCTION("""COMPUTED_VALUE"""),41.54)</f>
        <v>41.54</v>
      </c>
      <c r="D2830" s="1">
        <f>IFERROR(__xludf.DUMMYFUNCTION("""COMPUTED_VALUE"""),40.33)</f>
        <v>40.33</v>
      </c>
      <c r="E2830" s="1">
        <f>IFERROR(__xludf.DUMMYFUNCTION("""COMPUTED_VALUE"""),41.48)</f>
        <v>41.48</v>
      </c>
      <c r="F2830" s="1">
        <f>IFERROR(__xludf.DUMMYFUNCTION("""COMPUTED_VALUE"""),267624.0)</f>
        <v>267624</v>
      </c>
    </row>
    <row r="2831">
      <c r="A2831" s="2">
        <f>IFERROR(__xludf.DUMMYFUNCTION("""COMPUTED_VALUE"""),44291.66666666667)</f>
        <v>44291.66667</v>
      </c>
      <c r="B2831" s="1">
        <f>IFERROR(__xludf.DUMMYFUNCTION("""COMPUTED_VALUE"""),42.61)</f>
        <v>42.61</v>
      </c>
      <c r="C2831" s="1">
        <f>IFERROR(__xludf.DUMMYFUNCTION("""COMPUTED_VALUE"""),42.71)</f>
        <v>42.71</v>
      </c>
      <c r="D2831" s="1">
        <f>IFERROR(__xludf.DUMMYFUNCTION("""COMPUTED_VALUE"""),41.26)</f>
        <v>41.26</v>
      </c>
      <c r="E2831" s="1">
        <f>IFERROR(__xludf.DUMMYFUNCTION("""COMPUTED_VALUE"""),41.54)</f>
        <v>41.54</v>
      </c>
      <c r="F2831" s="1">
        <f>IFERROR(__xludf.DUMMYFUNCTION("""COMPUTED_VALUE"""),374934.0)</f>
        <v>374934</v>
      </c>
    </row>
    <row r="2832">
      <c r="A2832" s="2">
        <f>IFERROR(__xludf.DUMMYFUNCTION("""COMPUTED_VALUE"""),44292.66666666667)</f>
        <v>44292.66667</v>
      </c>
      <c r="B2832" s="1">
        <f>IFERROR(__xludf.DUMMYFUNCTION("""COMPUTED_VALUE"""),41.21)</f>
        <v>41.21</v>
      </c>
      <c r="C2832" s="1">
        <f>IFERROR(__xludf.DUMMYFUNCTION("""COMPUTED_VALUE"""),41.89)</f>
        <v>41.89</v>
      </c>
      <c r="D2832" s="1">
        <f>IFERROR(__xludf.DUMMYFUNCTION("""COMPUTED_VALUE"""),40.99)</f>
        <v>40.99</v>
      </c>
      <c r="E2832" s="1">
        <f>IFERROR(__xludf.DUMMYFUNCTION("""COMPUTED_VALUE"""),41.27)</f>
        <v>41.27</v>
      </c>
      <c r="F2832" s="1">
        <f>IFERROR(__xludf.DUMMYFUNCTION("""COMPUTED_VALUE"""),197855.0)</f>
        <v>197855</v>
      </c>
    </row>
    <row r="2833">
      <c r="A2833" s="2">
        <f>IFERROR(__xludf.DUMMYFUNCTION("""COMPUTED_VALUE"""),44293.66666666667)</f>
        <v>44293.66667</v>
      </c>
      <c r="B2833" s="1">
        <f>IFERROR(__xludf.DUMMYFUNCTION("""COMPUTED_VALUE"""),41.65)</f>
        <v>41.65</v>
      </c>
      <c r="C2833" s="1">
        <f>IFERROR(__xludf.DUMMYFUNCTION("""COMPUTED_VALUE"""),41.89)</f>
        <v>41.89</v>
      </c>
      <c r="D2833" s="1">
        <f>IFERROR(__xludf.DUMMYFUNCTION("""COMPUTED_VALUE"""),40.86)</f>
        <v>40.86</v>
      </c>
      <c r="E2833" s="1">
        <f>IFERROR(__xludf.DUMMYFUNCTION("""COMPUTED_VALUE"""),41.05)</f>
        <v>41.05</v>
      </c>
      <c r="F2833" s="1">
        <f>IFERROR(__xludf.DUMMYFUNCTION("""COMPUTED_VALUE"""),266863.0)</f>
        <v>266863</v>
      </c>
    </row>
    <row r="2834">
      <c r="A2834" s="2">
        <f>IFERROR(__xludf.DUMMYFUNCTION("""COMPUTED_VALUE"""),44294.66666666667)</f>
        <v>44294.66667</v>
      </c>
      <c r="B2834" s="1">
        <f>IFERROR(__xludf.DUMMYFUNCTION("""COMPUTED_VALUE"""),40.73)</f>
        <v>40.73</v>
      </c>
      <c r="C2834" s="1">
        <f>IFERROR(__xludf.DUMMYFUNCTION("""COMPUTED_VALUE"""),41.17)</f>
        <v>41.17</v>
      </c>
      <c r="D2834" s="1">
        <f>IFERROR(__xludf.DUMMYFUNCTION("""COMPUTED_VALUE"""),40.19)</f>
        <v>40.19</v>
      </c>
      <c r="E2834" s="1">
        <f>IFERROR(__xludf.DUMMYFUNCTION("""COMPUTED_VALUE"""),40.87)</f>
        <v>40.87</v>
      </c>
      <c r="F2834" s="1">
        <f>IFERROR(__xludf.DUMMYFUNCTION("""COMPUTED_VALUE"""),251909.0)</f>
        <v>251909</v>
      </c>
    </row>
    <row r="2835">
      <c r="A2835" s="2">
        <f>IFERROR(__xludf.DUMMYFUNCTION("""COMPUTED_VALUE"""),44295.66666666667)</f>
        <v>44295.66667</v>
      </c>
      <c r="B2835" s="1">
        <f>IFERROR(__xludf.DUMMYFUNCTION("""COMPUTED_VALUE"""),41.23)</f>
        <v>41.23</v>
      </c>
      <c r="C2835" s="1">
        <f>IFERROR(__xludf.DUMMYFUNCTION("""COMPUTED_VALUE"""),41.52)</f>
        <v>41.52</v>
      </c>
      <c r="D2835" s="1">
        <f>IFERROR(__xludf.DUMMYFUNCTION("""COMPUTED_VALUE"""),40.99)</f>
        <v>40.99</v>
      </c>
      <c r="E2835" s="1">
        <f>IFERROR(__xludf.DUMMYFUNCTION("""COMPUTED_VALUE"""),41.39)</f>
        <v>41.39</v>
      </c>
      <c r="F2835" s="1">
        <f>IFERROR(__xludf.DUMMYFUNCTION("""COMPUTED_VALUE"""),189696.0)</f>
        <v>189696</v>
      </c>
    </row>
    <row r="2836">
      <c r="A2836" s="2">
        <f>IFERROR(__xludf.DUMMYFUNCTION("""COMPUTED_VALUE"""),44298.66666666667)</f>
        <v>44298.66667</v>
      </c>
      <c r="B2836" s="1">
        <f>IFERROR(__xludf.DUMMYFUNCTION("""COMPUTED_VALUE"""),41.64)</f>
        <v>41.64</v>
      </c>
      <c r="C2836" s="1">
        <f>IFERROR(__xludf.DUMMYFUNCTION("""COMPUTED_VALUE"""),41.76)</f>
        <v>41.76</v>
      </c>
      <c r="D2836" s="1">
        <f>IFERROR(__xludf.DUMMYFUNCTION("""COMPUTED_VALUE"""),41.38)</f>
        <v>41.38</v>
      </c>
      <c r="E2836" s="1">
        <f>IFERROR(__xludf.DUMMYFUNCTION("""COMPUTED_VALUE"""),41.56)</f>
        <v>41.56</v>
      </c>
      <c r="F2836" s="1">
        <f>IFERROR(__xludf.DUMMYFUNCTION("""COMPUTED_VALUE"""),137359.0)</f>
        <v>137359</v>
      </c>
    </row>
    <row r="2837">
      <c r="A2837" s="2">
        <f>IFERROR(__xludf.DUMMYFUNCTION("""COMPUTED_VALUE"""),44299.66666666667)</f>
        <v>44299.66667</v>
      </c>
      <c r="B2837" s="1">
        <f>IFERROR(__xludf.DUMMYFUNCTION("""COMPUTED_VALUE"""),41.25)</f>
        <v>41.25</v>
      </c>
      <c r="C2837" s="1">
        <f>IFERROR(__xludf.DUMMYFUNCTION("""COMPUTED_VALUE"""),41.38)</f>
        <v>41.38</v>
      </c>
      <c r="D2837" s="1">
        <f>IFERROR(__xludf.DUMMYFUNCTION("""COMPUTED_VALUE"""),40.46)</f>
        <v>40.46</v>
      </c>
      <c r="E2837" s="1">
        <f>IFERROR(__xludf.DUMMYFUNCTION("""COMPUTED_VALUE"""),40.67)</f>
        <v>40.67</v>
      </c>
      <c r="F2837" s="1">
        <f>IFERROR(__xludf.DUMMYFUNCTION("""COMPUTED_VALUE"""),240831.0)</f>
        <v>240831</v>
      </c>
    </row>
    <row r="2838">
      <c r="A2838" s="2">
        <f>IFERROR(__xludf.DUMMYFUNCTION("""COMPUTED_VALUE"""),44300.66666666667)</f>
        <v>44300.66667</v>
      </c>
      <c r="B2838" s="1">
        <f>IFERROR(__xludf.DUMMYFUNCTION("""COMPUTED_VALUE"""),41.07)</f>
        <v>41.07</v>
      </c>
      <c r="C2838" s="1">
        <f>IFERROR(__xludf.DUMMYFUNCTION("""COMPUTED_VALUE"""),41.76)</f>
        <v>41.76</v>
      </c>
      <c r="D2838" s="1">
        <f>IFERROR(__xludf.DUMMYFUNCTION("""COMPUTED_VALUE"""),40.65)</f>
        <v>40.65</v>
      </c>
      <c r="E2838" s="1">
        <f>IFERROR(__xludf.DUMMYFUNCTION("""COMPUTED_VALUE"""),41.18)</f>
        <v>41.18</v>
      </c>
      <c r="F2838" s="1">
        <f>IFERROR(__xludf.DUMMYFUNCTION("""COMPUTED_VALUE"""),154627.0)</f>
        <v>154627</v>
      </c>
    </row>
    <row r="2839">
      <c r="A2839" s="2">
        <f>IFERROR(__xludf.DUMMYFUNCTION("""COMPUTED_VALUE"""),44301.66666666667)</f>
        <v>44301.66667</v>
      </c>
      <c r="B2839" s="1">
        <f>IFERROR(__xludf.DUMMYFUNCTION("""COMPUTED_VALUE"""),41.22)</f>
        <v>41.22</v>
      </c>
      <c r="C2839" s="1">
        <f>IFERROR(__xludf.DUMMYFUNCTION("""COMPUTED_VALUE"""),41.22)</f>
        <v>41.22</v>
      </c>
      <c r="D2839" s="1">
        <f>IFERROR(__xludf.DUMMYFUNCTION("""COMPUTED_VALUE"""),40.26)</f>
        <v>40.26</v>
      </c>
      <c r="E2839" s="1">
        <f>IFERROR(__xludf.DUMMYFUNCTION("""COMPUTED_VALUE"""),40.95)</f>
        <v>40.95</v>
      </c>
      <c r="F2839" s="1">
        <f>IFERROR(__xludf.DUMMYFUNCTION("""COMPUTED_VALUE"""),204543.0)</f>
        <v>204543</v>
      </c>
    </row>
    <row r="2840">
      <c r="A2840" s="2">
        <f>IFERROR(__xludf.DUMMYFUNCTION("""COMPUTED_VALUE"""),44302.66666666667)</f>
        <v>44302.66667</v>
      </c>
      <c r="B2840" s="1">
        <f>IFERROR(__xludf.DUMMYFUNCTION("""COMPUTED_VALUE"""),41.53)</f>
        <v>41.53</v>
      </c>
      <c r="C2840" s="1">
        <f>IFERROR(__xludf.DUMMYFUNCTION("""COMPUTED_VALUE"""),41.53)</f>
        <v>41.53</v>
      </c>
      <c r="D2840" s="1">
        <f>IFERROR(__xludf.DUMMYFUNCTION("""COMPUTED_VALUE"""),40.64)</f>
        <v>40.64</v>
      </c>
      <c r="E2840" s="1">
        <f>IFERROR(__xludf.DUMMYFUNCTION("""COMPUTED_VALUE"""),41.27)</f>
        <v>41.27</v>
      </c>
      <c r="F2840" s="1">
        <f>IFERROR(__xludf.DUMMYFUNCTION("""COMPUTED_VALUE"""),290431.0)</f>
        <v>290431</v>
      </c>
    </row>
    <row r="2841">
      <c r="A2841" s="2">
        <f>IFERROR(__xludf.DUMMYFUNCTION("""COMPUTED_VALUE"""),44305.66666666667)</f>
        <v>44305.66667</v>
      </c>
      <c r="B2841" s="1">
        <f>IFERROR(__xludf.DUMMYFUNCTION("""COMPUTED_VALUE"""),41.05)</f>
        <v>41.05</v>
      </c>
      <c r="C2841" s="1">
        <f>IFERROR(__xludf.DUMMYFUNCTION("""COMPUTED_VALUE"""),41.55)</f>
        <v>41.55</v>
      </c>
      <c r="D2841" s="1">
        <f>IFERROR(__xludf.DUMMYFUNCTION("""COMPUTED_VALUE"""),40.66)</f>
        <v>40.66</v>
      </c>
      <c r="E2841" s="1">
        <f>IFERROR(__xludf.DUMMYFUNCTION("""COMPUTED_VALUE"""),41.12)</f>
        <v>41.12</v>
      </c>
      <c r="F2841" s="1">
        <f>IFERROR(__xludf.DUMMYFUNCTION("""COMPUTED_VALUE"""),378930.0)</f>
        <v>378930</v>
      </c>
    </row>
    <row r="2842">
      <c r="A2842" s="2">
        <f>IFERROR(__xludf.DUMMYFUNCTION("""COMPUTED_VALUE"""),44306.66666666667)</f>
        <v>44306.66667</v>
      </c>
      <c r="B2842" s="1">
        <f>IFERROR(__xludf.DUMMYFUNCTION("""COMPUTED_VALUE"""),40.71)</f>
        <v>40.71</v>
      </c>
      <c r="C2842" s="1">
        <f>IFERROR(__xludf.DUMMYFUNCTION("""COMPUTED_VALUE"""),40.75)</f>
        <v>40.75</v>
      </c>
      <c r="D2842" s="1">
        <f>IFERROR(__xludf.DUMMYFUNCTION("""COMPUTED_VALUE"""),39.08)</f>
        <v>39.08</v>
      </c>
      <c r="E2842" s="1">
        <f>IFERROR(__xludf.DUMMYFUNCTION("""COMPUTED_VALUE"""),39.28)</f>
        <v>39.28</v>
      </c>
      <c r="F2842" s="1">
        <f>IFERROR(__xludf.DUMMYFUNCTION("""COMPUTED_VALUE"""),277636.0)</f>
        <v>277636</v>
      </c>
    </row>
    <row r="2843">
      <c r="A2843" s="2">
        <f>IFERROR(__xludf.DUMMYFUNCTION("""COMPUTED_VALUE"""),44307.66666666667)</f>
        <v>44307.66667</v>
      </c>
      <c r="B2843" s="1">
        <f>IFERROR(__xludf.DUMMYFUNCTION("""COMPUTED_VALUE"""),38.62)</f>
        <v>38.62</v>
      </c>
      <c r="C2843" s="1">
        <f>IFERROR(__xludf.DUMMYFUNCTION("""COMPUTED_VALUE"""),40.39)</f>
        <v>40.39</v>
      </c>
      <c r="D2843" s="1">
        <f>IFERROR(__xludf.DUMMYFUNCTION("""COMPUTED_VALUE"""),38.62)</f>
        <v>38.62</v>
      </c>
      <c r="E2843" s="1">
        <f>IFERROR(__xludf.DUMMYFUNCTION("""COMPUTED_VALUE"""),40.29)</f>
        <v>40.29</v>
      </c>
      <c r="F2843" s="1">
        <f>IFERROR(__xludf.DUMMYFUNCTION("""COMPUTED_VALUE"""),327023.0)</f>
        <v>327023</v>
      </c>
    </row>
    <row r="2844">
      <c r="A2844" s="2">
        <f>IFERROR(__xludf.DUMMYFUNCTION("""COMPUTED_VALUE"""),44308.66666666667)</f>
        <v>44308.66667</v>
      </c>
      <c r="B2844" s="1">
        <f>IFERROR(__xludf.DUMMYFUNCTION("""COMPUTED_VALUE"""),40.51)</f>
        <v>40.51</v>
      </c>
      <c r="C2844" s="1">
        <f>IFERROR(__xludf.DUMMYFUNCTION("""COMPUTED_VALUE"""),40.72)</f>
        <v>40.72</v>
      </c>
      <c r="D2844" s="1">
        <f>IFERROR(__xludf.DUMMYFUNCTION("""COMPUTED_VALUE"""),39.67)</f>
        <v>39.67</v>
      </c>
      <c r="E2844" s="1">
        <f>IFERROR(__xludf.DUMMYFUNCTION("""COMPUTED_VALUE"""),39.68)</f>
        <v>39.68</v>
      </c>
      <c r="F2844" s="1">
        <f>IFERROR(__xludf.DUMMYFUNCTION("""COMPUTED_VALUE"""),262343.0)</f>
        <v>262343</v>
      </c>
    </row>
    <row r="2845">
      <c r="A2845" s="2">
        <f>IFERROR(__xludf.DUMMYFUNCTION("""COMPUTED_VALUE"""),44309.66666666667)</f>
        <v>44309.66667</v>
      </c>
      <c r="B2845" s="1">
        <f>IFERROR(__xludf.DUMMYFUNCTION("""COMPUTED_VALUE"""),39.78)</f>
        <v>39.78</v>
      </c>
      <c r="C2845" s="1">
        <f>IFERROR(__xludf.DUMMYFUNCTION("""COMPUTED_VALUE"""),41.7)</f>
        <v>41.7</v>
      </c>
      <c r="D2845" s="1">
        <f>IFERROR(__xludf.DUMMYFUNCTION("""COMPUTED_VALUE"""),39.78)</f>
        <v>39.78</v>
      </c>
      <c r="E2845" s="1">
        <f>IFERROR(__xludf.DUMMYFUNCTION("""COMPUTED_VALUE"""),41.24)</f>
        <v>41.24</v>
      </c>
      <c r="F2845" s="1">
        <f>IFERROR(__xludf.DUMMYFUNCTION("""COMPUTED_VALUE"""),324284.0)</f>
        <v>324284</v>
      </c>
    </row>
    <row r="2846">
      <c r="A2846" s="2">
        <f>IFERROR(__xludf.DUMMYFUNCTION("""COMPUTED_VALUE"""),44312.66666666667)</f>
        <v>44312.66667</v>
      </c>
      <c r="B2846" s="1">
        <f>IFERROR(__xludf.DUMMYFUNCTION("""COMPUTED_VALUE"""),41.82)</f>
        <v>41.82</v>
      </c>
      <c r="C2846" s="1">
        <f>IFERROR(__xludf.DUMMYFUNCTION("""COMPUTED_VALUE"""),41.99)</f>
        <v>41.99</v>
      </c>
      <c r="D2846" s="1">
        <f>IFERROR(__xludf.DUMMYFUNCTION("""COMPUTED_VALUE"""),40.72)</f>
        <v>40.72</v>
      </c>
      <c r="E2846" s="1">
        <f>IFERROR(__xludf.DUMMYFUNCTION("""COMPUTED_VALUE"""),40.73)</f>
        <v>40.73</v>
      </c>
      <c r="F2846" s="1">
        <f>IFERROR(__xludf.DUMMYFUNCTION("""COMPUTED_VALUE"""),166656.0)</f>
        <v>166656</v>
      </c>
    </row>
    <row r="2847">
      <c r="A2847" s="2">
        <f>IFERROR(__xludf.DUMMYFUNCTION("""COMPUTED_VALUE"""),44313.66666666667)</f>
        <v>44313.66667</v>
      </c>
      <c r="B2847" s="1">
        <f>IFERROR(__xludf.DUMMYFUNCTION("""COMPUTED_VALUE"""),41.99)</f>
        <v>41.99</v>
      </c>
      <c r="C2847" s="1">
        <f>IFERROR(__xludf.DUMMYFUNCTION("""COMPUTED_VALUE"""),41.99)</f>
        <v>41.99</v>
      </c>
      <c r="D2847" s="1">
        <f>IFERROR(__xludf.DUMMYFUNCTION("""COMPUTED_VALUE"""),40.73)</f>
        <v>40.73</v>
      </c>
      <c r="E2847" s="1">
        <f>IFERROR(__xludf.DUMMYFUNCTION("""COMPUTED_VALUE"""),41.48)</f>
        <v>41.48</v>
      </c>
      <c r="F2847" s="1">
        <f>IFERROR(__xludf.DUMMYFUNCTION("""COMPUTED_VALUE"""),377846.0)</f>
        <v>377846</v>
      </c>
    </row>
    <row r="2848">
      <c r="A2848" s="2">
        <f>IFERROR(__xludf.DUMMYFUNCTION("""COMPUTED_VALUE"""),44314.66666666667)</f>
        <v>44314.66667</v>
      </c>
      <c r="B2848" s="1">
        <f>IFERROR(__xludf.DUMMYFUNCTION("""COMPUTED_VALUE"""),41.29)</f>
        <v>41.29</v>
      </c>
      <c r="C2848" s="1">
        <f>IFERROR(__xludf.DUMMYFUNCTION("""COMPUTED_VALUE"""),41.78)</f>
        <v>41.78</v>
      </c>
      <c r="D2848" s="1">
        <f>IFERROR(__xludf.DUMMYFUNCTION("""COMPUTED_VALUE"""),40.47)</f>
        <v>40.47</v>
      </c>
      <c r="E2848" s="1">
        <f>IFERROR(__xludf.DUMMYFUNCTION("""COMPUTED_VALUE"""),40.52)</f>
        <v>40.52</v>
      </c>
      <c r="F2848" s="1">
        <f>IFERROR(__xludf.DUMMYFUNCTION("""COMPUTED_VALUE"""),217730.0)</f>
        <v>217730</v>
      </c>
    </row>
    <row r="2849">
      <c r="A2849" s="2">
        <f>IFERROR(__xludf.DUMMYFUNCTION("""COMPUTED_VALUE"""),44315.66666666667)</f>
        <v>44315.66667</v>
      </c>
      <c r="B2849" s="1">
        <f>IFERROR(__xludf.DUMMYFUNCTION("""COMPUTED_VALUE"""),40.97)</f>
        <v>40.97</v>
      </c>
      <c r="C2849" s="1">
        <f>IFERROR(__xludf.DUMMYFUNCTION("""COMPUTED_VALUE"""),41.59)</f>
        <v>41.59</v>
      </c>
      <c r="D2849" s="1">
        <f>IFERROR(__xludf.DUMMYFUNCTION("""COMPUTED_VALUE"""),40.54)</f>
        <v>40.54</v>
      </c>
      <c r="E2849" s="1">
        <f>IFERROR(__xludf.DUMMYFUNCTION("""COMPUTED_VALUE"""),41.1)</f>
        <v>41.1</v>
      </c>
      <c r="F2849" s="1">
        <f>IFERROR(__xludf.DUMMYFUNCTION("""COMPUTED_VALUE"""),273298.0)</f>
        <v>273298</v>
      </c>
    </row>
    <row r="2850">
      <c r="A2850" s="2">
        <f>IFERROR(__xludf.DUMMYFUNCTION("""COMPUTED_VALUE"""),44316.66666666667)</f>
        <v>44316.66667</v>
      </c>
      <c r="B2850" s="1">
        <f>IFERROR(__xludf.DUMMYFUNCTION("""COMPUTED_VALUE"""),40.69)</f>
        <v>40.69</v>
      </c>
      <c r="C2850" s="1">
        <f>IFERROR(__xludf.DUMMYFUNCTION("""COMPUTED_VALUE"""),41.32)</f>
        <v>41.32</v>
      </c>
      <c r="D2850" s="1">
        <f>IFERROR(__xludf.DUMMYFUNCTION("""COMPUTED_VALUE"""),40.39)</f>
        <v>40.39</v>
      </c>
      <c r="E2850" s="1">
        <f>IFERROR(__xludf.DUMMYFUNCTION("""COMPUTED_VALUE"""),40.48)</f>
        <v>40.48</v>
      </c>
      <c r="F2850" s="1">
        <f>IFERROR(__xludf.DUMMYFUNCTION("""COMPUTED_VALUE"""),508514.0)</f>
        <v>508514</v>
      </c>
    </row>
    <row r="2851">
      <c r="A2851" s="2">
        <f>IFERROR(__xludf.DUMMYFUNCTION("""COMPUTED_VALUE"""),44319.66666666667)</f>
        <v>44319.66667</v>
      </c>
      <c r="B2851" s="1">
        <f>IFERROR(__xludf.DUMMYFUNCTION("""COMPUTED_VALUE"""),41.0)</f>
        <v>41</v>
      </c>
      <c r="C2851" s="1">
        <f>IFERROR(__xludf.DUMMYFUNCTION("""COMPUTED_VALUE"""),41.77)</f>
        <v>41.77</v>
      </c>
      <c r="D2851" s="1">
        <f>IFERROR(__xludf.DUMMYFUNCTION("""COMPUTED_VALUE"""),40.79)</f>
        <v>40.79</v>
      </c>
      <c r="E2851" s="1">
        <f>IFERROR(__xludf.DUMMYFUNCTION("""COMPUTED_VALUE"""),41.61)</f>
        <v>41.61</v>
      </c>
      <c r="F2851" s="1">
        <f>IFERROR(__xludf.DUMMYFUNCTION("""COMPUTED_VALUE"""),411609.0)</f>
        <v>411609</v>
      </c>
    </row>
    <row r="2852">
      <c r="A2852" s="2">
        <f>IFERROR(__xludf.DUMMYFUNCTION("""COMPUTED_VALUE"""),44320.66666666667)</f>
        <v>44320.66667</v>
      </c>
      <c r="B2852" s="1">
        <f>IFERROR(__xludf.DUMMYFUNCTION("""COMPUTED_VALUE"""),41.21)</f>
        <v>41.21</v>
      </c>
      <c r="C2852" s="1">
        <f>IFERROR(__xludf.DUMMYFUNCTION("""COMPUTED_VALUE"""),42.06)</f>
        <v>42.06</v>
      </c>
      <c r="D2852" s="1">
        <f>IFERROR(__xludf.DUMMYFUNCTION("""COMPUTED_VALUE"""),41.11)</f>
        <v>41.11</v>
      </c>
      <c r="E2852" s="1">
        <f>IFERROR(__xludf.DUMMYFUNCTION("""COMPUTED_VALUE"""),41.83)</f>
        <v>41.83</v>
      </c>
      <c r="F2852" s="1">
        <f>IFERROR(__xludf.DUMMYFUNCTION("""COMPUTED_VALUE"""),521425.0)</f>
        <v>521425</v>
      </c>
    </row>
    <row r="2853">
      <c r="A2853" s="2">
        <f>IFERROR(__xludf.DUMMYFUNCTION("""COMPUTED_VALUE"""),44321.66666666667)</f>
        <v>44321.66667</v>
      </c>
      <c r="B2853" s="1">
        <f>IFERROR(__xludf.DUMMYFUNCTION("""COMPUTED_VALUE"""),41.54)</f>
        <v>41.54</v>
      </c>
      <c r="C2853" s="1">
        <f>IFERROR(__xludf.DUMMYFUNCTION("""COMPUTED_VALUE"""),42.14)</f>
        <v>42.14</v>
      </c>
      <c r="D2853" s="1">
        <f>IFERROR(__xludf.DUMMYFUNCTION("""COMPUTED_VALUE"""),41.31)</f>
        <v>41.31</v>
      </c>
      <c r="E2853" s="1">
        <f>IFERROR(__xludf.DUMMYFUNCTION("""COMPUTED_VALUE"""),41.61)</f>
        <v>41.61</v>
      </c>
      <c r="F2853" s="1">
        <f>IFERROR(__xludf.DUMMYFUNCTION("""COMPUTED_VALUE"""),362179.0)</f>
        <v>362179</v>
      </c>
    </row>
    <row r="2854">
      <c r="A2854" s="2">
        <f>IFERROR(__xludf.DUMMYFUNCTION("""COMPUTED_VALUE"""),44322.66666666667)</f>
        <v>44322.66667</v>
      </c>
      <c r="B2854" s="1">
        <f>IFERROR(__xludf.DUMMYFUNCTION("""COMPUTED_VALUE"""),41.85)</f>
        <v>41.85</v>
      </c>
      <c r="C2854" s="1">
        <f>IFERROR(__xludf.DUMMYFUNCTION("""COMPUTED_VALUE"""),42.19)</f>
        <v>42.19</v>
      </c>
      <c r="D2854" s="1">
        <f>IFERROR(__xludf.DUMMYFUNCTION("""COMPUTED_VALUE"""),41.25)</f>
        <v>41.25</v>
      </c>
      <c r="E2854" s="1">
        <f>IFERROR(__xludf.DUMMYFUNCTION("""COMPUTED_VALUE"""),42.14)</f>
        <v>42.14</v>
      </c>
      <c r="F2854" s="1">
        <f>IFERROR(__xludf.DUMMYFUNCTION("""COMPUTED_VALUE"""),256592.0)</f>
        <v>256592</v>
      </c>
    </row>
    <row r="2855">
      <c r="A2855" s="2">
        <f>IFERROR(__xludf.DUMMYFUNCTION("""COMPUTED_VALUE"""),44323.66666666667)</f>
        <v>44323.66667</v>
      </c>
      <c r="B2855" s="1">
        <f>IFERROR(__xludf.DUMMYFUNCTION("""COMPUTED_VALUE"""),41.33)</f>
        <v>41.33</v>
      </c>
      <c r="C2855" s="1">
        <f>IFERROR(__xludf.DUMMYFUNCTION("""COMPUTED_VALUE"""),42.32)</f>
        <v>42.32</v>
      </c>
      <c r="D2855" s="1">
        <f>IFERROR(__xludf.DUMMYFUNCTION("""COMPUTED_VALUE"""),41.14)</f>
        <v>41.14</v>
      </c>
      <c r="E2855" s="1">
        <f>IFERROR(__xludf.DUMMYFUNCTION("""COMPUTED_VALUE"""),42.18)</f>
        <v>42.18</v>
      </c>
      <c r="F2855" s="1">
        <f>IFERROR(__xludf.DUMMYFUNCTION("""COMPUTED_VALUE"""),289990.0)</f>
        <v>289990</v>
      </c>
    </row>
    <row r="2856">
      <c r="A2856" s="2">
        <f>IFERROR(__xludf.DUMMYFUNCTION("""COMPUTED_VALUE"""),44326.66666666667)</f>
        <v>44326.66667</v>
      </c>
      <c r="B2856" s="1">
        <f>IFERROR(__xludf.DUMMYFUNCTION("""COMPUTED_VALUE"""),42.23)</f>
        <v>42.23</v>
      </c>
      <c r="C2856" s="1">
        <f>IFERROR(__xludf.DUMMYFUNCTION("""COMPUTED_VALUE"""),42.84)</f>
        <v>42.84</v>
      </c>
      <c r="D2856" s="1">
        <f>IFERROR(__xludf.DUMMYFUNCTION("""COMPUTED_VALUE"""),41.44)</f>
        <v>41.44</v>
      </c>
      <c r="E2856" s="1">
        <f>IFERROR(__xludf.DUMMYFUNCTION("""COMPUTED_VALUE"""),41.48)</f>
        <v>41.48</v>
      </c>
      <c r="F2856" s="1">
        <f>IFERROR(__xludf.DUMMYFUNCTION("""COMPUTED_VALUE"""),405872.0)</f>
        <v>405872</v>
      </c>
    </row>
    <row r="2857">
      <c r="A2857" s="2">
        <f>IFERROR(__xludf.DUMMYFUNCTION("""COMPUTED_VALUE"""),44327.66666666667)</f>
        <v>44327.66667</v>
      </c>
      <c r="B2857" s="1">
        <f>IFERROR(__xludf.DUMMYFUNCTION("""COMPUTED_VALUE"""),40.92)</f>
        <v>40.92</v>
      </c>
      <c r="C2857" s="1">
        <f>IFERROR(__xludf.DUMMYFUNCTION("""COMPUTED_VALUE"""),42.03)</f>
        <v>42.03</v>
      </c>
      <c r="D2857" s="1">
        <f>IFERROR(__xludf.DUMMYFUNCTION("""COMPUTED_VALUE"""),40.92)</f>
        <v>40.92</v>
      </c>
      <c r="E2857" s="1">
        <f>IFERROR(__xludf.DUMMYFUNCTION("""COMPUTED_VALUE"""),41.49)</f>
        <v>41.49</v>
      </c>
      <c r="F2857" s="1">
        <f>IFERROR(__xludf.DUMMYFUNCTION("""COMPUTED_VALUE"""),345304.0)</f>
        <v>345304</v>
      </c>
    </row>
    <row r="2858">
      <c r="A2858" s="2">
        <f>IFERROR(__xludf.DUMMYFUNCTION("""COMPUTED_VALUE"""),44328.66666666667)</f>
        <v>44328.66667</v>
      </c>
      <c r="B2858" s="1">
        <f>IFERROR(__xludf.DUMMYFUNCTION("""COMPUTED_VALUE"""),41.92)</f>
        <v>41.92</v>
      </c>
      <c r="C2858" s="1">
        <f>IFERROR(__xludf.DUMMYFUNCTION("""COMPUTED_VALUE"""),42.25)</f>
        <v>42.25</v>
      </c>
      <c r="D2858" s="1">
        <f>IFERROR(__xludf.DUMMYFUNCTION("""COMPUTED_VALUE"""),40.7)</f>
        <v>40.7</v>
      </c>
      <c r="E2858" s="1">
        <f>IFERROR(__xludf.DUMMYFUNCTION("""COMPUTED_VALUE"""),40.79)</f>
        <v>40.79</v>
      </c>
      <c r="F2858" s="1">
        <f>IFERROR(__xludf.DUMMYFUNCTION("""COMPUTED_VALUE"""),356007.0)</f>
        <v>356007</v>
      </c>
    </row>
    <row r="2859">
      <c r="A2859" s="2">
        <f>IFERROR(__xludf.DUMMYFUNCTION("""COMPUTED_VALUE"""),44329.66666666667)</f>
        <v>44329.66667</v>
      </c>
      <c r="B2859" s="1">
        <f>IFERROR(__xludf.DUMMYFUNCTION("""COMPUTED_VALUE"""),40.71)</f>
        <v>40.71</v>
      </c>
      <c r="C2859" s="1">
        <f>IFERROR(__xludf.DUMMYFUNCTION("""COMPUTED_VALUE"""),42.64)</f>
        <v>42.64</v>
      </c>
      <c r="D2859" s="1">
        <f>IFERROR(__xludf.DUMMYFUNCTION("""COMPUTED_VALUE"""),40.71)</f>
        <v>40.71</v>
      </c>
      <c r="E2859" s="1">
        <f>IFERROR(__xludf.DUMMYFUNCTION("""COMPUTED_VALUE"""),42.37)</f>
        <v>42.37</v>
      </c>
      <c r="F2859" s="1">
        <f>IFERROR(__xludf.DUMMYFUNCTION("""COMPUTED_VALUE"""),695524.0)</f>
        <v>695524</v>
      </c>
    </row>
    <row r="2860">
      <c r="A2860" s="2">
        <f>IFERROR(__xludf.DUMMYFUNCTION("""COMPUTED_VALUE"""),44330.66666666667)</f>
        <v>44330.66667</v>
      </c>
      <c r="B2860" s="1">
        <f>IFERROR(__xludf.DUMMYFUNCTION("""COMPUTED_VALUE"""),42.74)</f>
        <v>42.74</v>
      </c>
      <c r="C2860" s="1">
        <f>IFERROR(__xludf.DUMMYFUNCTION("""COMPUTED_VALUE"""),43.08)</f>
        <v>43.08</v>
      </c>
      <c r="D2860" s="1">
        <f>IFERROR(__xludf.DUMMYFUNCTION("""COMPUTED_VALUE"""),42.24)</f>
        <v>42.24</v>
      </c>
      <c r="E2860" s="1">
        <f>IFERROR(__xludf.DUMMYFUNCTION("""COMPUTED_VALUE"""),43.04)</f>
        <v>43.04</v>
      </c>
      <c r="F2860" s="1">
        <f>IFERROR(__xludf.DUMMYFUNCTION("""COMPUTED_VALUE"""),240717.0)</f>
        <v>240717</v>
      </c>
    </row>
    <row r="2861">
      <c r="A2861" s="2">
        <f>IFERROR(__xludf.DUMMYFUNCTION("""COMPUTED_VALUE"""),44333.66666666667)</f>
        <v>44333.66667</v>
      </c>
      <c r="B2861" s="1">
        <f>IFERROR(__xludf.DUMMYFUNCTION("""COMPUTED_VALUE"""),42.79)</f>
        <v>42.79</v>
      </c>
      <c r="C2861" s="1">
        <f>IFERROR(__xludf.DUMMYFUNCTION("""COMPUTED_VALUE"""),43.12)</f>
        <v>43.12</v>
      </c>
      <c r="D2861" s="1">
        <f>IFERROR(__xludf.DUMMYFUNCTION("""COMPUTED_VALUE"""),42.15)</f>
        <v>42.15</v>
      </c>
      <c r="E2861" s="1">
        <f>IFERROR(__xludf.DUMMYFUNCTION("""COMPUTED_VALUE"""),42.74)</f>
        <v>42.74</v>
      </c>
      <c r="F2861" s="1">
        <f>IFERROR(__xludf.DUMMYFUNCTION("""COMPUTED_VALUE"""),157952.0)</f>
        <v>157952</v>
      </c>
    </row>
    <row r="2862">
      <c r="A2862" s="2">
        <f>IFERROR(__xludf.DUMMYFUNCTION("""COMPUTED_VALUE"""),44334.66666666667)</f>
        <v>44334.66667</v>
      </c>
      <c r="B2862" s="1">
        <f>IFERROR(__xludf.DUMMYFUNCTION("""COMPUTED_VALUE"""),42.56)</f>
        <v>42.56</v>
      </c>
      <c r="C2862" s="1">
        <f>IFERROR(__xludf.DUMMYFUNCTION("""COMPUTED_VALUE"""),42.93)</f>
        <v>42.93</v>
      </c>
      <c r="D2862" s="1">
        <f>IFERROR(__xludf.DUMMYFUNCTION("""COMPUTED_VALUE"""),41.95)</f>
        <v>41.95</v>
      </c>
      <c r="E2862" s="1">
        <f>IFERROR(__xludf.DUMMYFUNCTION("""COMPUTED_VALUE"""),41.98)</f>
        <v>41.98</v>
      </c>
      <c r="F2862" s="1">
        <f>IFERROR(__xludf.DUMMYFUNCTION("""COMPUTED_VALUE"""),197278.0)</f>
        <v>197278</v>
      </c>
    </row>
    <row r="2863">
      <c r="A2863" s="2">
        <f>IFERROR(__xludf.DUMMYFUNCTION("""COMPUTED_VALUE"""),44335.66666666667)</f>
        <v>44335.66667</v>
      </c>
      <c r="B2863" s="1">
        <f>IFERROR(__xludf.DUMMYFUNCTION("""COMPUTED_VALUE"""),41.5)</f>
        <v>41.5</v>
      </c>
      <c r="C2863" s="1">
        <f>IFERROR(__xludf.DUMMYFUNCTION("""COMPUTED_VALUE"""),41.76)</f>
        <v>41.76</v>
      </c>
      <c r="D2863" s="1">
        <f>IFERROR(__xludf.DUMMYFUNCTION("""COMPUTED_VALUE"""),40.71)</f>
        <v>40.71</v>
      </c>
      <c r="E2863" s="1">
        <f>IFERROR(__xludf.DUMMYFUNCTION("""COMPUTED_VALUE"""),41.67)</f>
        <v>41.67</v>
      </c>
      <c r="F2863" s="1">
        <f>IFERROR(__xludf.DUMMYFUNCTION("""COMPUTED_VALUE"""),206732.0)</f>
        <v>206732</v>
      </c>
    </row>
    <row r="2864">
      <c r="A2864" s="2">
        <f>IFERROR(__xludf.DUMMYFUNCTION("""COMPUTED_VALUE"""),44336.66666666667)</f>
        <v>44336.66667</v>
      </c>
      <c r="B2864" s="1">
        <f>IFERROR(__xludf.DUMMYFUNCTION("""COMPUTED_VALUE"""),41.65)</f>
        <v>41.65</v>
      </c>
      <c r="C2864" s="1">
        <f>IFERROR(__xludf.DUMMYFUNCTION("""COMPUTED_VALUE"""),41.75)</f>
        <v>41.75</v>
      </c>
      <c r="D2864" s="1">
        <f>IFERROR(__xludf.DUMMYFUNCTION("""COMPUTED_VALUE"""),40.66)</f>
        <v>40.66</v>
      </c>
      <c r="E2864" s="1">
        <f>IFERROR(__xludf.DUMMYFUNCTION("""COMPUTED_VALUE"""),41.32)</f>
        <v>41.32</v>
      </c>
      <c r="F2864" s="1">
        <f>IFERROR(__xludf.DUMMYFUNCTION("""COMPUTED_VALUE"""),184122.0)</f>
        <v>184122</v>
      </c>
    </row>
    <row r="2865">
      <c r="A2865" s="2">
        <f>IFERROR(__xludf.DUMMYFUNCTION("""COMPUTED_VALUE"""),44337.66666666667)</f>
        <v>44337.66667</v>
      </c>
      <c r="B2865" s="1">
        <f>IFERROR(__xludf.DUMMYFUNCTION("""COMPUTED_VALUE"""),41.85)</f>
        <v>41.85</v>
      </c>
      <c r="C2865" s="1">
        <f>IFERROR(__xludf.DUMMYFUNCTION("""COMPUTED_VALUE"""),42.2)</f>
        <v>42.2</v>
      </c>
      <c r="D2865" s="1">
        <f>IFERROR(__xludf.DUMMYFUNCTION("""COMPUTED_VALUE"""),40.7)</f>
        <v>40.7</v>
      </c>
      <c r="E2865" s="1">
        <f>IFERROR(__xludf.DUMMYFUNCTION("""COMPUTED_VALUE"""),41.89)</f>
        <v>41.89</v>
      </c>
      <c r="F2865" s="1">
        <f>IFERROR(__xludf.DUMMYFUNCTION("""COMPUTED_VALUE"""),176394.0)</f>
        <v>176394</v>
      </c>
    </row>
    <row r="2866">
      <c r="A2866" s="2">
        <f>IFERROR(__xludf.DUMMYFUNCTION("""COMPUTED_VALUE"""),44340.66666666667)</f>
        <v>44340.66667</v>
      </c>
      <c r="B2866" s="1">
        <f>IFERROR(__xludf.DUMMYFUNCTION("""COMPUTED_VALUE"""),41.86)</f>
        <v>41.86</v>
      </c>
      <c r="C2866" s="1">
        <f>IFERROR(__xludf.DUMMYFUNCTION("""COMPUTED_VALUE"""),41.86)</f>
        <v>41.86</v>
      </c>
      <c r="D2866" s="1">
        <f>IFERROR(__xludf.DUMMYFUNCTION("""COMPUTED_VALUE"""),41.1)</f>
        <v>41.1</v>
      </c>
      <c r="E2866" s="1">
        <f>IFERROR(__xludf.DUMMYFUNCTION("""COMPUTED_VALUE"""),41.27)</f>
        <v>41.27</v>
      </c>
      <c r="F2866" s="1">
        <f>IFERROR(__xludf.DUMMYFUNCTION("""COMPUTED_VALUE"""),311214.0)</f>
        <v>311214</v>
      </c>
    </row>
    <row r="2867">
      <c r="A2867" s="2">
        <f>IFERROR(__xludf.DUMMYFUNCTION("""COMPUTED_VALUE"""),44341.66666666667)</f>
        <v>44341.66667</v>
      </c>
      <c r="B2867" s="1">
        <f>IFERROR(__xludf.DUMMYFUNCTION("""COMPUTED_VALUE"""),41.42)</f>
        <v>41.42</v>
      </c>
      <c r="C2867" s="1">
        <f>IFERROR(__xludf.DUMMYFUNCTION("""COMPUTED_VALUE"""),41.83)</f>
        <v>41.83</v>
      </c>
      <c r="D2867" s="1">
        <f>IFERROR(__xludf.DUMMYFUNCTION("""COMPUTED_VALUE"""),40.29)</f>
        <v>40.29</v>
      </c>
      <c r="E2867" s="1">
        <f>IFERROR(__xludf.DUMMYFUNCTION("""COMPUTED_VALUE"""),40.31)</f>
        <v>40.31</v>
      </c>
      <c r="F2867" s="1">
        <f>IFERROR(__xludf.DUMMYFUNCTION("""COMPUTED_VALUE"""),451292.0)</f>
        <v>451292</v>
      </c>
    </row>
    <row r="2868">
      <c r="A2868" s="2">
        <f>IFERROR(__xludf.DUMMYFUNCTION("""COMPUTED_VALUE"""),44342.66666666667)</f>
        <v>44342.66667</v>
      </c>
      <c r="B2868" s="1">
        <f>IFERROR(__xludf.DUMMYFUNCTION("""COMPUTED_VALUE"""),40.27)</f>
        <v>40.27</v>
      </c>
      <c r="C2868" s="1">
        <f>IFERROR(__xludf.DUMMYFUNCTION("""COMPUTED_VALUE"""),41.05)</f>
        <v>41.05</v>
      </c>
      <c r="D2868" s="1">
        <f>IFERROR(__xludf.DUMMYFUNCTION("""COMPUTED_VALUE"""),40.07)</f>
        <v>40.07</v>
      </c>
      <c r="E2868" s="1">
        <f>IFERROR(__xludf.DUMMYFUNCTION("""COMPUTED_VALUE"""),40.97)</f>
        <v>40.97</v>
      </c>
      <c r="F2868" s="1">
        <f>IFERROR(__xludf.DUMMYFUNCTION("""COMPUTED_VALUE"""),194095.0)</f>
        <v>194095</v>
      </c>
    </row>
    <row r="2869">
      <c r="A2869" s="2">
        <f>IFERROR(__xludf.DUMMYFUNCTION("""COMPUTED_VALUE"""),44343.66666666667)</f>
        <v>44343.66667</v>
      </c>
      <c r="B2869" s="1">
        <f>IFERROR(__xludf.DUMMYFUNCTION("""COMPUTED_VALUE"""),41.35)</f>
        <v>41.35</v>
      </c>
      <c r="C2869" s="1">
        <f>IFERROR(__xludf.DUMMYFUNCTION("""COMPUTED_VALUE"""),41.83)</f>
        <v>41.83</v>
      </c>
      <c r="D2869" s="1">
        <f>IFERROR(__xludf.DUMMYFUNCTION("""COMPUTED_VALUE"""),41.33)</f>
        <v>41.33</v>
      </c>
      <c r="E2869" s="1">
        <f>IFERROR(__xludf.DUMMYFUNCTION("""COMPUTED_VALUE"""),41.49)</f>
        <v>41.49</v>
      </c>
      <c r="F2869" s="1">
        <f>IFERROR(__xludf.DUMMYFUNCTION("""COMPUTED_VALUE"""),383612.0)</f>
        <v>383612</v>
      </c>
    </row>
    <row r="2870">
      <c r="A2870" s="2">
        <f>IFERROR(__xludf.DUMMYFUNCTION("""COMPUTED_VALUE"""),44344.66666666667)</f>
        <v>44344.66667</v>
      </c>
      <c r="B2870" s="1">
        <f>IFERROR(__xludf.DUMMYFUNCTION("""COMPUTED_VALUE"""),41.43)</f>
        <v>41.43</v>
      </c>
      <c r="C2870" s="1">
        <f>IFERROR(__xludf.DUMMYFUNCTION("""COMPUTED_VALUE"""),41.78)</f>
        <v>41.78</v>
      </c>
      <c r="D2870" s="1">
        <f>IFERROR(__xludf.DUMMYFUNCTION("""COMPUTED_VALUE"""),40.76)</f>
        <v>40.76</v>
      </c>
      <c r="E2870" s="1">
        <f>IFERROR(__xludf.DUMMYFUNCTION("""COMPUTED_VALUE"""),41.68)</f>
        <v>41.68</v>
      </c>
      <c r="F2870" s="1">
        <f>IFERROR(__xludf.DUMMYFUNCTION("""COMPUTED_VALUE"""),308719.0)</f>
        <v>308719</v>
      </c>
    </row>
    <row r="2871">
      <c r="A2871" s="2">
        <f>IFERROR(__xludf.DUMMYFUNCTION("""COMPUTED_VALUE"""),44348.66666666667)</f>
        <v>44348.66667</v>
      </c>
      <c r="B2871" s="1">
        <f>IFERROR(__xludf.DUMMYFUNCTION("""COMPUTED_VALUE"""),42.02)</f>
        <v>42.02</v>
      </c>
      <c r="C2871" s="1">
        <f>IFERROR(__xludf.DUMMYFUNCTION("""COMPUTED_VALUE"""),42.62)</f>
        <v>42.62</v>
      </c>
      <c r="D2871" s="1">
        <f>IFERROR(__xludf.DUMMYFUNCTION("""COMPUTED_VALUE"""),41.7)</f>
        <v>41.7</v>
      </c>
      <c r="E2871" s="1">
        <f>IFERROR(__xludf.DUMMYFUNCTION("""COMPUTED_VALUE"""),42.24)</f>
        <v>42.24</v>
      </c>
      <c r="F2871" s="1">
        <f>IFERROR(__xludf.DUMMYFUNCTION("""COMPUTED_VALUE"""),409134.0)</f>
        <v>409134</v>
      </c>
    </row>
    <row r="2872">
      <c r="A2872" s="2">
        <f>IFERROR(__xludf.DUMMYFUNCTION("""COMPUTED_VALUE"""),44349.66666666667)</f>
        <v>44349.66667</v>
      </c>
      <c r="B2872" s="1">
        <f>IFERROR(__xludf.DUMMYFUNCTION("""COMPUTED_VALUE"""),42.29)</f>
        <v>42.29</v>
      </c>
      <c r="C2872" s="1">
        <f>IFERROR(__xludf.DUMMYFUNCTION("""COMPUTED_VALUE"""),42.37)</f>
        <v>42.37</v>
      </c>
      <c r="D2872" s="1">
        <f>IFERROR(__xludf.DUMMYFUNCTION("""COMPUTED_VALUE"""),41.75)</f>
        <v>41.75</v>
      </c>
      <c r="E2872" s="1">
        <f>IFERROR(__xludf.DUMMYFUNCTION("""COMPUTED_VALUE"""),41.93)</f>
        <v>41.93</v>
      </c>
      <c r="F2872" s="1">
        <f>IFERROR(__xludf.DUMMYFUNCTION("""COMPUTED_VALUE"""),324928.0)</f>
        <v>324928</v>
      </c>
    </row>
    <row r="2873">
      <c r="A2873" s="2">
        <f>IFERROR(__xludf.DUMMYFUNCTION("""COMPUTED_VALUE"""),44350.66666666667)</f>
        <v>44350.66667</v>
      </c>
      <c r="B2873" s="1">
        <f>IFERROR(__xludf.DUMMYFUNCTION("""COMPUTED_VALUE"""),41.82)</f>
        <v>41.82</v>
      </c>
      <c r="C2873" s="1">
        <f>IFERROR(__xludf.DUMMYFUNCTION("""COMPUTED_VALUE"""),42.26)</f>
        <v>42.26</v>
      </c>
      <c r="D2873" s="1">
        <f>IFERROR(__xludf.DUMMYFUNCTION("""COMPUTED_VALUE"""),41.78)</f>
        <v>41.78</v>
      </c>
      <c r="E2873" s="1">
        <f>IFERROR(__xludf.DUMMYFUNCTION("""COMPUTED_VALUE"""),41.95)</f>
        <v>41.95</v>
      </c>
      <c r="F2873" s="1">
        <f>IFERROR(__xludf.DUMMYFUNCTION("""COMPUTED_VALUE"""),448156.0)</f>
        <v>448156</v>
      </c>
    </row>
    <row r="2874">
      <c r="A2874" s="2">
        <f>IFERROR(__xludf.DUMMYFUNCTION("""COMPUTED_VALUE"""),44351.66666666667)</f>
        <v>44351.66667</v>
      </c>
      <c r="B2874" s="1">
        <f>IFERROR(__xludf.DUMMYFUNCTION("""COMPUTED_VALUE"""),42.01)</f>
        <v>42.01</v>
      </c>
      <c r="C2874" s="1">
        <f>IFERROR(__xludf.DUMMYFUNCTION("""COMPUTED_VALUE"""),42.45)</f>
        <v>42.45</v>
      </c>
      <c r="D2874" s="1">
        <f>IFERROR(__xludf.DUMMYFUNCTION("""COMPUTED_VALUE"""),41.91)</f>
        <v>41.91</v>
      </c>
      <c r="E2874" s="1">
        <f>IFERROR(__xludf.DUMMYFUNCTION("""COMPUTED_VALUE"""),42.37)</f>
        <v>42.37</v>
      </c>
      <c r="F2874" s="1">
        <f>IFERROR(__xludf.DUMMYFUNCTION("""COMPUTED_VALUE"""),381207.0)</f>
        <v>381207</v>
      </c>
    </row>
    <row r="2875">
      <c r="A2875" s="2">
        <f>IFERROR(__xludf.DUMMYFUNCTION("""COMPUTED_VALUE"""),44354.66666666667)</f>
        <v>44354.66667</v>
      </c>
      <c r="B2875" s="1">
        <f>IFERROR(__xludf.DUMMYFUNCTION("""COMPUTED_VALUE"""),42.5)</f>
        <v>42.5</v>
      </c>
      <c r="C2875" s="1">
        <f>IFERROR(__xludf.DUMMYFUNCTION("""COMPUTED_VALUE"""),43.12)</f>
        <v>43.12</v>
      </c>
      <c r="D2875" s="1">
        <f>IFERROR(__xludf.DUMMYFUNCTION("""COMPUTED_VALUE"""),42.38)</f>
        <v>42.38</v>
      </c>
      <c r="E2875" s="1">
        <f>IFERROR(__xludf.DUMMYFUNCTION("""COMPUTED_VALUE"""),42.66)</f>
        <v>42.66</v>
      </c>
      <c r="F2875" s="1">
        <f>IFERROR(__xludf.DUMMYFUNCTION("""COMPUTED_VALUE"""),434084.0)</f>
        <v>434084</v>
      </c>
    </row>
    <row r="2876">
      <c r="A2876" s="2">
        <f>IFERROR(__xludf.DUMMYFUNCTION("""COMPUTED_VALUE"""),44355.66666666667)</f>
        <v>44355.66667</v>
      </c>
      <c r="B2876" s="1">
        <f>IFERROR(__xludf.DUMMYFUNCTION("""COMPUTED_VALUE"""),42.16)</f>
        <v>42.16</v>
      </c>
      <c r="C2876" s="1">
        <f>IFERROR(__xludf.DUMMYFUNCTION("""COMPUTED_VALUE"""),42.95)</f>
        <v>42.95</v>
      </c>
      <c r="D2876" s="1">
        <f>IFERROR(__xludf.DUMMYFUNCTION("""COMPUTED_VALUE"""),41.83)</f>
        <v>41.83</v>
      </c>
      <c r="E2876" s="1">
        <f>IFERROR(__xludf.DUMMYFUNCTION("""COMPUTED_VALUE"""),42.75)</f>
        <v>42.75</v>
      </c>
      <c r="F2876" s="1">
        <f>IFERROR(__xludf.DUMMYFUNCTION("""COMPUTED_VALUE"""),353804.0)</f>
        <v>353804</v>
      </c>
    </row>
    <row r="2877">
      <c r="A2877" s="2">
        <f>IFERROR(__xludf.DUMMYFUNCTION("""COMPUTED_VALUE"""),44356.66666666667)</f>
        <v>44356.66667</v>
      </c>
      <c r="B2877" s="1">
        <f>IFERROR(__xludf.DUMMYFUNCTION("""COMPUTED_VALUE"""),42.33)</f>
        <v>42.33</v>
      </c>
      <c r="C2877" s="1">
        <f>IFERROR(__xludf.DUMMYFUNCTION("""COMPUTED_VALUE"""),42.38)</f>
        <v>42.38</v>
      </c>
      <c r="D2877" s="1">
        <f>IFERROR(__xludf.DUMMYFUNCTION("""COMPUTED_VALUE"""),41.84)</f>
        <v>41.84</v>
      </c>
      <c r="E2877" s="1">
        <f>IFERROR(__xludf.DUMMYFUNCTION("""COMPUTED_VALUE"""),41.86)</f>
        <v>41.86</v>
      </c>
      <c r="F2877" s="1">
        <f>IFERROR(__xludf.DUMMYFUNCTION("""COMPUTED_VALUE"""),341830.0)</f>
        <v>341830</v>
      </c>
    </row>
    <row r="2878">
      <c r="A2878" s="2">
        <f>IFERROR(__xludf.DUMMYFUNCTION("""COMPUTED_VALUE"""),44357.66666666667)</f>
        <v>44357.66667</v>
      </c>
      <c r="B2878" s="1">
        <f>IFERROR(__xludf.DUMMYFUNCTION("""COMPUTED_VALUE"""),42.66)</f>
        <v>42.66</v>
      </c>
      <c r="C2878" s="1">
        <f>IFERROR(__xludf.DUMMYFUNCTION("""COMPUTED_VALUE"""),42.68)</f>
        <v>42.68</v>
      </c>
      <c r="D2878" s="1">
        <f>IFERROR(__xludf.DUMMYFUNCTION("""COMPUTED_VALUE"""),41.13)</f>
        <v>41.13</v>
      </c>
      <c r="E2878" s="1">
        <f>IFERROR(__xludf.DUMMYFUNCTION("""COMPUTED_VALUE"""),41.24)</f>
        <v>41.24</v>
      </c>
      <c r="F2878" s="1">
        <f>IFERROR(__xludf.DUMMYFUNCTION("""COMPUTED_VALUE"""),286232.0)</f>
        <v>286232</v>
      </c>
    </row>
    <row r="2879">
      <c r="A2879" s="2">
        <f>IFERROR(__xludf.DUMMYFUNCTION("""COMPUTED_VALUE"""),44358.66666666667)</f>
        <v>44358.66667</v>
      </c>
      <c r="B2879" s="1">
        <f>IFERROR(__xludf.DUMMYFUNCTION("""COMPUTED_VALUE"""),41.46)</f>
        <v>41.46</v>
      </c>
      <c r="C2879" s="1">
        <f>IFERROR(__xludf.DUMMYFUNCTION("""COMPUTED_VALUE"""),42.04)</f>
        <v>42.04</v>
      </c>
      <c r="D2879" s="1">
        <f>IFERROR(__xludf.DUMMYFUNCTION("""COMPUTED_VALUE"""),41.09)</f>
        <v>41.09</v>
      </c>
      <c r="E2879" s="1">
        <f>IFERROR(__xludf.DUMMYFUNCTION("""COMPUTED_VALUE"""),41.27)</f>
        <v>41.27</v>
      </c>
      <c r="F2879" s="1">
        <f>IFERROR(__xludf.DUMMYFUNCTION("""COMPUTED_VALUE"""),212070.0)</f>
        <v>212070</v>
      </c>
    </row>
    <row r="2880">
      <c r="A2880" s="2">
        <f>IFERROR(__xludf.DUMMYFUNCTION("""COMPUTED_VALUE"""),44361.66666666667)</f>
        <v>44361.66667</v>
      </c>
      <c r="B2880" s="1">
        <f>IFERROR(__xludf.DUMMYFUNCTION("""COMPUTED_VALUE"""),41.34)</f>
        <v>41.34</v>
      </c>
      <c r="C2880" s="1">
        <f>IFERROR(__xludf.DUMMYFUNCTION("""COMPUTED_VALUE"""),42.92)</f>
        <v>42.92</v>
      </c>
      <c r="D2880" s="1">
        <f>IFERROR(__xludf.DUMMYFUNCTION("""COMPUTED_VALUE"""),40.41)</f>
        <v>40.41</v>
      </c>
      <c r="E2880" s="1">
        <f>IFERROR(__xludf.DUMMYFUNCTION("""COMPUTED_VALUE"""),40.69)</f>
        <v>40.69</v>
      </c>
      <c r="F2880" s="1">
        <f>IFERROR(__xludf.DUMMYFUNCTION("""COMPUTED_VALUE"""),378119.0)</f>
        <v>378119</v>
      </c>
    </row>
    <row r="2881">
      <c r="A2881" s="2">
        <f>IFERROR(__xludf.DUMMYFUNCTION("""COMPUTED_VALUE"""),44362.66666666667)</f>
        <v>44362.66667</v>
      </c>
      <c r="B2881" s="1">
        <f>IFERROR(__xludf.DUMMYFUNCTION("""COMPUTED_VALUE"""),40.71)</f>
        <v>40.71</v>
      </c>
      <c r="C2881" s="1">
        <f>IFERROR(__xludf.DUMMYFUNCTION("""COMPUTED_VALUE"""),41.69)</f>
        <v>41.69</v>
      </c>
      <c r="D2881" s="1">
        <f>IFERROR(__xludf.DUMMYFUNCTION("""COMPUTED_VALUE"""),40.66)</f>
        <v>40.66</v>
      </c>
      <c r="E2881" s="1">
        <f>IFERROR(__xludf.DUMMYFUNCTION("""COMPUTED_VALUE"""),41.33)</f>
        <v>41.33</v>
      </c>
      <c r="F2881" s="1">
        <f>IFERROR(__xludf.DUMMYFUNCTION("""COMPUTED_VALUE"""),280143.0)</f>
        <v>280143</v>
      </c>
    </row>
    <row r="2882">
      <c r="A2882" s="2">
        <f>IFERROR(__xludf.DUMMYFUNCTION("""COMPUTED_VALUE"""),44363.66666666667)</f>
        <v>44363.66667</v>
      </c>
      <c r="B2882" s="1">
        <f>IFERROR(__xludf.DUMMYFUNCTION("""COMPUTED_VALUE"""),41.05)</f>
        <v>41.05</v>
      </c>
      <c r="C2882" s="1">
        <f>IFERROR(__xludf.DUMMYFUNCTION("""COMPUTED_VALUE"""),41.96)</f>
        <v>41.96</v>
      </c>
      <c r="D2882" s="1">
        <f>IFERROR(__xludf.DUMMYFUNCTION("""COMPUTED_VALUE"""),40.59)</f>
        <v>40.59</v>
      </c>
      <c r="E2882" s="1">
        <f>IFERROR(__xludf.DUMMYFUNCTION("""COMPUTED_VALUE"""),41.76)</f>
        <v>41.76</v>
      </c>
      <c r="F2882" s="1">
        <f>IFERROR(__xludf.DUMMYFUNCTION("""COMPUTED_VALUE"""),298069.0)</f>
        <v>298069</v>
      </c>
    </row>
    <row r="2883">
      <c r="A2883" s="2">
        <f>IFERROR(__xludf.DUMMYFUNCTION("""COMPUTED_VALUE"""),44364.66666666667)</f>
        <v>44364.66667</v>
      </c>
      <c r="B2883" s="1">
        <f>IFERROR(__xludf.DUMMYFUNCTION("""COMPUTED_VALUE"""),41.9)</f>
        <v>41.9</v>
      </c>
      <c r="C2883" s="1">
        <f>IFERROR(__xludf.DUMMYFUNCTION("""COMPUTED_VALUE"""),42.1)</f>
        <v>42.1</v>
      </c>
      <c r="D2883" s="1">
        <f>IFERROR(__xludf.DUMMYFUNCTION("""COMPUTED_VALUE"""),39.89)</f>
        <v>39.89</v>
      </c>
      <c r="E2883" s="1">
        <f>IFERROR(__xludf.DUMMYFUNCTION("""COMPUTED_VALUE"""),39.97)</f>
        <v>39.97</v>
      </c>
      <c r="F2883" s="1">
        <f>IFERROR(__xludf.DUMMYFUNCTION("""COMPUTED_VALUE"""),334548.0)</f>
        <v>334548</v>
      </c>
    </row>
    <row r="2884">
      <c r="A2884" s="2">
        <f>IFERROR(__xludf.DUMMYFUNCTION("""COMPUTED_VALUE"""),44365.66666666667)</f>
        <v>44365.66667</v>
      </c>
      <c r="B2884" s="1">
        <f>IFERROR(__xludf.DUMMYFUNCTION("""COMPUTED_VALUE"""),39.21)</f>
        <v>39.21</v>
      </c>
      <c r="C2884" s="1">
        <f>IFERROR(__xludf.DUMMYFUNCTION("""COMPUTED_VALUE"""),40.0)</f>
        <v>40</v>
      </c>
      <c r="D2884" s="1">
        <f>IFERROR(__xludf.DUMMYFUNCTION("""COMPUTED_VALUE"""),38.27)</f>
        <v>38.27</v>
      </c>
      <c r="E2884" s="1">
        <f>IFERROR(__xludf.DUMMYFUNCTION("""COMPUTED_VALUE"""),38.31)</f>
        <v>38.31</v>
      </c>
      <c r="F2884" s="1">
        <f>IFERROR(__xludf.DUMMYFUNCTION("""COMPUTED_VALUE"""),829939.0)</f>
        <v>829939</v>
      </c>
    </row>
    <row r="2885">
      <c r="A2885" s="2">
        <f>IFERROR(__xludf.DUMMYFUNCTION("""COMPUTED_VALUE"""),44368.66666666667)</f>
        <v>44368.66667</v>
      </c>
      <c r="B2885" s="1">
        <f>IFERROR(__xludf.DUMMYFUNCTION("""COMPUTED_VALUE"""),38.73)</f>
        <v>38.73</v>
      </c>
      <c r="C2885" s="1">
        <f>IFERROR(__xludf.DUMMYFUNCTION("""COMPUTED_VALUE"""),40.22)</f>
        <v>40.22</v>
      </c>
      <c r="D2885" s="1">
        <f>IFERROR(__xludf.DUMMYFUNCTION("""COMPUTED_VALUE"""),38.73)</f>
        <v>38.73</v>
      </c>
      <c r="E2885" s="1">
        <f>IFERROR(__xludf.DUMMYFUNCTION("""COMPUTED_VALUE"""),39.97)</f>
        <v>39.97</v>
      </c>
      <c r="F2885" s="1">
        <f>IFERROR(__xludf.DUMMYFUNCTION("""COMPUTED_VALUE"""),415990.0)</f>
        <v>415990</v>
      </c>
    </row>
    <row r="2886">
      <c r="A2886" s="2">
        <f>IFERROR(__xludf.DUMMYFUNCTION("""COMPUTED_VALUE"""),44369.66666666667)</f>
        <v>44369.66667</v>
      </c>
      <c r="B2886" s="1">
        <f>IFERROR(__xludf.DUMMYFUNCTION("""COMPUTED_VALUE"""),39.84)</f>
        <v>39.84</v>
      </c>
      <c r="C2886" s="1">
        <f>IFERROR(__xludf.DUMMYFUNCTION("""COMPUTED_VALUE"""),40.19)</f>
        <v>40.19</v>
      </c>
      <c r="D2886" s="1">
        <f>IFERROR(__xludf.DUMMYFUNCTION("""COMPUTED_VALUE"""),39.14)</f>
        <v>39.14</v>
      </c>
      <c r="E2886" s="1">
        <f>IFERROR(__xludf.DUMMYFUNCTION("""COMPUTED_VALUE"""),40.03)</f>
        <v>40.03</v>
      </c>
      <c r="F2886" s="1">
        <f>IFERROR(__xludf.DUMMYFUNCTION("""COMPUTED_VALUE"""),388257.0)</f>
        <v>388257</v>
      </c>
    </row>
    <row r="2887">
      <c r="A2887" s="2">
        <f>IFERROR(__xludf.DUMMYFUNCTION("""COMPUTED_VALUE"""),44370.66666666667)</f>
        <v>44370.66667</v>
      </c>
      <c r="B2887" s="1">
        <f>IFERROR(__xludf.DUMMYFUNCTION("""COMPUTED_VALUE"""),40.09)</f>
        <v>40.09</v>
      </c>
      <c r="C2887" s="1">
        <f>IFERROR(__xludf.DUMMYFUNCTION("""COMPUTED_VALUE"""),40.4)</f>
        <v>40.4</v>
      </c>
      <c r="D2887" s="1">
        <f>IFERROR(__xludf.DUMMYFUNCTION("""COMPUTED_VALUE"""),39.97)</f>
        <v>39.97</v>
      </c>
      <c r="E2887" s="1">
        <f>IFERROR(__xludf.DUMMYFUNCTION("""COMPUTED_VALUE"""),40.06)</f>
        <v>40.06</v>
      </c>
      <c r="F2887" s="1">
        <f>IFERROR(__xludf.DUMMYFUNCTION("""COMPUTED_VALUE"""),330425.0)</f>
        <v>330425</v>
      </c>
    </row>
    <row r="2888">
      <c r="A2888" s="2">
        <f>IFERROR(__xludf.DUMMYFUNCTION("""COMPUTED_VALUE"""),44371.66666666667)</f>
        <v>44371.66667</v>
      </c>
      <c r="B2888" s="1">
        <f>IFERROR(__xludf.DUMMYFUNCTION("""COMPUTED_VALUE"""),40.22)</f>
        <v>40.22</v>
      </c>
      <c r="C2888" s="1">
        <f>IFERROR(__xludf.DUMMYFUNCTION("""COMPUTED_VALUE"""),40.81)</f>
        <v>40.81</v>
      </c>
      <c r="D2888" s="1">
        <f>IFERROR(__xludf.DUMMYFUNCTION("""COMPUTED_VALUE"""),40.0)</f>
        <v>40</v>
      </c>
      <c r="E2888" s="1">
        <f>IFERROR(__xludf.DUMMYFUNCTION("""COMPUTED_VALUE"""),40.78)</f>
        <v>40.78</v>
      </c>
      <c r="F2888" s="1">
        <f>IFERROR(__xludf.DUMMYFUNCTION("""COMPUTED_VALUE"""),311328.0)</f>
        <v>311328</v>
      </c>
    </row>
    <row r="2889">
      <c r="A2889" s="2">
        <f>IFERROR(__xludf.DUMMYFUNCTION("""COMPUTED_VALUE"""),44372.66666666667)</f>
        <v>44372.66667</v>
      </c>
      <c r="B2889" s="1">
        <f>IFERROR(__xludf.DUMMYFUNCTION("""COMPUTED_VALUE"""),41.13)</f>
        <v>41.13</v>
      </c>
      <c r="C2889" s="1">
        <f>IFERROR(__xludf.DUMMYFUNCTION("""COMPUTED_VALUE"""),41.31)</f>
        <v>41.31</v>
      </c>
      <c r="D2889" s="1">
        <f>IFERROR(__xludf.DUMMYFUNCTION("""COMPUTED_VALUE"""),40.61)</f>
        <v>40.61</v>
      </c>
      <c r="E2889" s="1">
        <f>IFERROR(__xludf.DUMMYFUNCTION("""COMPUTED_VALUE"""),40.81)</f>
        <v>40.81</v>
      </c>
      <c r="F2889" s="1">
        <f>IFERROR(__xludf.DUMMYFUNCTION("""COMPUTED_VALUE"""),989544.0)</f>
        <v>989544</v>
      </c>
    </row>
    <row r="2890">
      <c r="A2890" s="2">
        <f>IFERROR(__xludf.DUMMYFUNCTION("""COMPUTED_VALUE"""),44375.66666666667)</f>
        <v>44375.66667</v>
      </c>
      <c r="B2890" s="1">
        <f>IFERROR(__xludf.DUMMYFUNCTION("""COMPUTED_VALUE"""),40.69)</f>
        <v>40.69</v>
      </c>
      <c r="C2890" s="1">
        <f>IFERROR(__xludf.DUMMYFUNCTION("""COMPUTED_VALUE"""),40.7)</f>
        <v>40.7</v>
      </c>
      <c r="D2890" s="1">
        <f>IFERROR(__xludf.DUMMYFUNCTION("""COMPUTED_VALUE"""),39.8)</f>
        <v>39.8</v>
      </c>
      <c r="E2890" s="1">
        <f>IFERROR(__xludf.DUMMYFUNCTION("""COMPUTED_VALUE"""),39.87)</f>
        <v>39.87</v>
      </c>
      <c r="F2890" s="1">
        <f>IFERROR(__xludf.DUMMYFUNCTION("""COMPUTED_VALUE"""),394814.0)</f>
        <v>394814</v>
      </c>
    </row>
    <row r="2891">
      <c r="A2891" s="2">
        <f>IFERROR(__xludf.DUMMYFUNCTION("""COMPUTED_VALUE"""),44376.66666666667)</f>
        <v>44376.66667</v>
      </c>
      <c r="B2891" s="1">
        <f>IFERROR(__xludf.DUMMYFUNCTION("""COMPUTED_VALUE"""),40.0)</f>
        <v>40</v>
      </c>
      <c r="C2891" s="1">
        <f>IFERROR(__xludf.DUMMYFUNCTION("""COMPUTED_VALUE"""),40.37)</f>
        <v>40.37</v>
      </c>
      <c r="D2891" s="1">
        <f>IFERROR(__xludf.DUMMYFUNCTION("""COMPUTED_VALUE"""),39.22)</f>
        <v>39.22</v>
      </c>
      <c r="E2891" s="1">
        <f>IFERROR(__xludf.DUMMYFUNCTION("""COMPUTED_VALUE"""),39.42)</f>
        <v>39.42</v>
      </c>
      <c r="F2891" s="1">
        <f>IFERROR(__xludf.DUMMYFUNCTION("""COMPUTED_VALUE"""),275868.0)</f>
        <v>275868</v>
      </c>
    </row>
    <row r="2892">
      <c r="A2892" s="2">
        <f>IFERROR(__xludf.DUMMYFUNCTION("""COMPUTED_VALUE"""),44377.66666666667)</f>
        <v>44377.66667</v>
      </c>
      <c r="B2892" s="1">
        <f>IFERROR(__xludf.DUMMYFUNCTION("""COMPUTED_VALUE"""),39.11)</f>
        <v>39.11</v>
      </c>
      <c r="C2892" s="1">
        <f>IFERROR(__xludf.DUMMYFUNCTION("""COMPUTED_VALUE"""),39.69)</f>
        <v>39.69</v>
      </c>
      <c r="D2892" s="1">
        <f>IFERROR(__xludf.DUMMYFUNCTION("""COMPUTED_VALUE"""),39.07)</f>
        <v>39.07</v>
      </c>
      <c r="E2892" s="1">
        <f>IFERROR(__xludf.DUMMYFUNCTION("""COMPUTED_VALUE"""),39.36)</f>
        <v>39.36</v>
      </c>
      <c r="F2892" s="1">
        <f>IFERROR(__xludf.DUMMYFUNCTION("""COMPUTED_VALUE"""),399705.0)</f>
        <v>399705</v>
      </c>
    </row>
    <row r="2893">
      <c r="A2893" s="2">
        <f>IFERROR(__xludf.DUMMYFUNCTION("""COMPUTED_VALUE"""),44378.66666666667)</f>
        <v>44378.66667</v>
      </c>
      <c r="B2893" s="1">
        <f>IFERROR(__xludf.DUMMYFUNCTION("""COMPUTED_VALUE"""),39.58)</f>
        <v>39.58</v>
      </c>
      <c r="C2893" s="1">
        <f>IFERROR(__xludf.DUMMYFUNCTION("""COMPUTED_VALUE"""),39.87)</f>
        <v>39.87</v>
      </c>
      <c r="D2893" s="1">
        <f>IFERROR(__xludf.DUMMYFUNCTION("""COMPUTED_VALUE"""),39.38)</f>
        <v>39.38</v>
      </c>
      <c r="E2893" s="1">
        <f>IFERROR(__xludf.DUMMYFUNCTION("""COMPUTED_VALUE"""),39.55)</f>
        <v>39.55</v>
      </c>
      <c r="F2893" s="1">
        <f>IFERROR(__xludf.DUMMYFUNCTION("""COMPUTED_VALUE"""),264189.0)</f>
        <v>264189</v>
      </c>
    </row>
    <row r="2894">
      <c r="A2894" s="2">
        <f>IFERROR(__xludf.DUMMYFUNCTION("""COMPUTED_VALUE"""),44379.66666666667)</f>
        <v>44379.66667</v>
      </c>
      <c r="B2894" s="1">
        <f>IFERROR(__xludf.DUMMYFUNCTION("""COMPUTED_VALUE"""),39.37)</f>
        <v>39.37</v>
      </c>
      <c r="C2894" s="1">
        <f>IFERROR(__xludf.DUMMYFUNCTION("""COMPUTED_VALUE"""),39.54)</f>
        <v>39.54</v>
      </c>
      <c r="D2894" s="1">
        <f>IFERROR(__xludf.DUMMYFUNCTION("""COMPUTED_VALUE"""),38.8)</f>
        <v>38.8</v>
      </c>
      <c r="E2894" s="1">
        <f>IFERROR(__xludf.DUMMYFUNCTION("""COMPUTED_VALUE"""),38.89)</f>
        <v>38.89</v>
      </c>
      <c r="F2894" s="1">
        <f>IFERROR(__xludf.DUMMYFUNCTION("""COMPUTED_VALUE"""),179559.0)</f>
        <v>179559</v>
      </c>
    </row>
    <row r="2895">
      <c r="A2895" s="2">
        <f>IFERROR(__xludf.DUMMYFUNCTION("""COMPUTED_VALUE"""),44383.66666666667)</f>
        <v>44383.66667</v>
      </c>
      <c r="B2895" s="1">
        <f>IFERROR(__xludf.DUMMYFUNCTION("""COMPUTED_VALUE"""),38.7)</f>
        <v>38.7</v>
      </c>
      <c r="C2895" s="1">
        <f>IFERROR(__xludf.DUMMYFUNCTION("""COMPUTED_VALUE"""),38.94)</f>
        <v>38.94</v>
      </c>
      <c r="D2895" s="1">
        <f>IFERROR(__xludf.DUMMYFUNCTION("""COMPUTED_VALUE"""),37.58)</f>
        <v>37.58</v>
      </c>
      <c r="E2895" s="1">
        <f>IFERROR(__xludf.DUMMYFUNCTION("""COMPUTED_VALUE"""),37.91)</f>
        <v>37.91</v>
      </c>
      <c r="F2895" s="1">
        <f>IFERROR(__xludf.DUMMYFUNCTION("""COMPUTED_VALUE"""),331247.0)</f>
        <v>331247</v>
      </c>
    </row>
    <row r="2896">
      <c r="A2896" s="2">
        <f>IFERROR(__xludf.DUMMYFUNCTION("""COMPUTED_VALUE"""),44384.66666666667)</f>
        <v>44384.66667</v>
      </c>
      <c r="B2896" s="1">
        <f>IFERROR(__xludf.DUMMYFUNCTION("""COMPUTED_VALUE"""),37.64)</f>
        <v>37.64</v>
      </c>
      <c r="C2896" s="1">
        <f>IFERROR(__xludf.DUMMYFUNCTION("""COMPUTED_VALUE"""),38.17)</f>
        <v>38.17</v>
      </c>
      <c r="D2896" s="1">
        <f>IFERROR(__xludf.DUMMYFUNCTION("""COMPUTED_VALUE"""),37.32)</f>
        <v>37.32</v>
      </c>
      <c r="E2896" s="1">
        <f>IFERROR(__xludf.DUMMYFUNCTION("""COMPUTED_VALUE"""),37.65)</f>
        <v>37.65</v>
      </c>
      <c r="F2896" s="1">
        <f>IFERROR(__xludf.DUMMYFUNCTION("""COMPUTED_VALUE"""),252962.0)</f>
        <v>252962</v>
      </c>
    </row>
    <row r="2897">
      <c r="A2897" s="2">
        <f>IFERROR(__xludf.DUMMYFUNCTION("""COMPUTED_VALUE"""),44385.66666666667)</f>
        <v>44385.66667</v>
      </c>
      <c r="B2897" s="1">
        <f>IFERROR(__xludf.DUMMYFUNCTION("""COMPUTED_VALUE"""),37.1)</f>
        <v>37.1</v>
      </c>
      <c r="C2897" s="1">
        <f>IFERROR(__xludf.DUMMYFUNCTION("""COMPUTED_VALUE"""),37.3)</f>
        <v>37.3</v>
      </c>
      <c r="D2897" s="1">
        <f>IFERROR(__xludf.DUMMYFUNCTION("""COMPUTED_VALUE"""),36.28)</f>
        <v>36.28</v>
      </c>
      <c r="E2897" s="1">
        <f>IFERROR(__xludf.DUMMYFUNCTION("""COMPUTED_VALUE"""),36.69)</f>
        <v>36.69</v>
      </c>
      <c r="F2897" s="1">
        <f>IFERROR(__xludf.DUMMYFUNCTION("""COMPUTED_VALUE"""),286151.0)</f>
        <v>286151</v>
      </c>
    </row>
    <row r="2898">
      <c r="A2898" s="2">
        <f>IFERROR(__xludf.DUMMYFUNCTION("""COMPUTED_VALUE"""),44386.66666666667)</f>
        <v>44386.66667</v>
      </c>
      <c r="B2898" s="1">
        <f>IFERROR(__xludf.DUMMYFUNCTION("""COMPUTED_VALUE"""),37.65)</f>
        <v>37.65</v>
      </c>
      <c r="C2898" s="1">
        <f>IFERROR(__xludf.DUMMYFUNCTION("""COMPUTED_VALUE"""),38.19)</f>
        <v>38.19</v>
      </c>
      <c r="D2898" s="1">
        <f>IFERROR(__xludf.DUMMYFUNCTION("""COMPUTED_VALUE"""),37.35)</f>
        <v>37.35</v>
      </c>
      <c r="E2898" s="1">
        <f>IFERROR(__xludf.DUMMYFUNCTION("""COMPUTED_VALUE"""),38.14)</f>
        <v>38.14</v>
      </c>
      <c r="F2898" s="1">
        <f>IFERROR(__xludf.DUMMYFUNCTION("""COMPUTED_VALUE"""),271455.0)</f>
        <v>271455</v>
      </c>
    </row>
    <row r="2899">
      <c r="A2899" s="2">
        <f>IFERROR(__xludf.DUMMYFUNCTION("""COMPUTED_VALUE"""),44389.66666666667)</f>
        <v>44389.66667</v>
      </c>
      <c r="B2899" s="1">
        <f>IFERROR(__xludf.DUMMYFUNCTION("""COMPUTED_VALUE"""),37.73)</f>
        <v>37.73</v>
      </c>
      <c r="C2899" s="1">
        <f>IFERROR(__xludf.DUMMYFUNCTION("""COMPUTED_VALUE"""),38.48)</f>
        <v>38.48</v>
      </c>
      <c r="D2899" s="1">
        <f>IFERROR(__xludf.DUMMYFUNCTION("""COMPUTED_VALUE"""),37.5)</f>
        <v>37.5</v>
      </c>
      <c r="E2899" s="1">
        <f>IFERROR(__xludf.DUMMYFUNCTION("""COMPUTED_VALUE"""),38.4)</f>
        <v>38.4</v>
      </c>
      <c r="F2899" s="1">
        <f>IFERROR(__xludf.DUMMYFUNCTION("""COMPUTED_VALUE"""),216920.0)</f>
        <v>216920</v>
      </c>
    </row>
    <row r="2900">
      <c r="A2900" s="2">
        <f>IFERROR(__xludf.DUMMYFUNCTION("""COMPUTED_VALUE"""),44390.66666666667)</f>
        <v>44390.66667</v>
      </c>
      <c r="B2900" s="1">
        <f>IFERROR(__xludf.DUMMYFUNCTION("""COMPUTED_VALUE"""),38.22)</f>
        <v>38.22</v>
      </c>
      <c r="C2900" s="1">
        <f>IFERROR(__xludf.DUMMYFUNCTION("""COMPUTED_VALUE"""),38.29)</f>
        <v>38.29</v>
      </c>
      <c r="D2900" s="1">
        <f>IFERROR(__xludf.DUMMYFUNCTION("""COMPUTED_VALUE"""),37.43)</f>
        <v>37.43</v>
      </c>
      <c r="E2900" s="1">
        <f>IFERROR(__xludf.DUMMYFUNCTION("""COMPUTED_VALUE"""),37.63)</f>
        <v>37.63</v>
      </c>
      <c r="F2900" s="1">
        <f>IFERROR(__xludf.DUMMYFUNCTION("""COMPUTED_VALUE"""),187873.0)</f>
        <v>187873</v>
      </c>
    </row>
    <row r="2901">
      <c r="A2901" s="2">
        <f>IFERROR(__xludf.DUMMYFUNCTION("""COMPUTED_VALUE"""),44391.66666666667)</f>
        <v>44391.66667</v>
      </c>
      <c r="B2901" s="1">
        <f>IFERROR(__xludf.DUMMYFUNCTION("""COMPUTED_VALUE"""),37.75)</f>
        <v>37.75</v>
      </c>
      <c r="C2901" s="1">
        <f>IFERROR(__xludf.DUMMYFUNCTION("""COMPUTED_VALUE"""),38.3)</f>
        <v>38.3</v>
      </c>
      <c r="D2901" s="1">
        <f>IFERROR(__xludf.DUMMYFUNCTION("""COMPUTED_VALUE"""),37.24)</f>
        <v>37.24</v>
      </c>
      <c r="E2901" s="1">
        <f>IFERROR(__xludf.DUMMYFUNCTION("""COMPUTED_VALUE"""),37.76)</f>
        <v>37.76</v>
      </c>
      <c r="F2901" s="1">
        <f>IFERROR(__xludf.DUMMYFUNCTION("""COMPUTED_VALUE"""),258992.0)</f>
        <v>258992</v>
      </c>
    </row>
    <row r="2902">
      <c r="A2902" s="2">
        <f>IFERROR(__xludf.DUMMYFUNCTION("""COMPUTED_VALUE"""),44392.66666666667)</f>
        <v>44392.66667</v>
      </c>
      <c r="B2902" s="1">
        <f>IFERROR(__xludf.DUMMYFUNCTION("""COMPUTED_VALUE"""),37.35)</f>
        <v>37.35</v>
      </c>
      <c r="C2902" s="1">
        <f>IFERROR(__xludf.DUMMYFUNCTION("""COMPUTED_VALUE"""),38.33)</f>
        <v>38.33</v>
      </c>
      <c r="D2902" s="1">
        <f>IFERROR(__xludf.DUMMYFUNCTION("""COMPUTED_VALUE"""),37.35)</f>
        <v>37.35</v>
      </c>
      <c r="E2902" s="1">
        <f>IFERROR(__xludf.DUMMYFUNCTION("""COMPUTED_VALUE"""),38.27)</f>
        <v>38.27</v>
      </c>
      <c r="F2902" s="1">
        <f>IFERROR(__xludf.DUMMYFUNCTION("""COMPUTED_VALUE"""),277700.0)</f>
        <v>277700</v>
      </c>
    </row>
    <row r="2903">
      <c r="A2903" s="2">
        <f>IFERROR(__xludf.DUMMYFUNCTION("""COMPUTED_VALUE"""),44393.66666666667)</f>
        <v>44393.66667</v>
      </c>
      <c r="B2903" s="1">
        <f>IFERROR(__xludf.DUMMYFUNCTION("""COMPUTED_VALUE"""),38.48)</f>
        <v>38.48</v>
      </c>
      <c r="C2903" s="1">
        <f>IFERROR(__xludf.DUMMYFUNCTION("""COMPUTED_VALUE"""),38.66)</f>
        <v>38.66</v>
      </c>
      <c r="D2903" s="1">
        <f>IFERROR(__xludf.DUMMYFUNCTION("""COMPUTED_VALUE"""),37.1)</f>
        <v>37.1</v>
      </c>
      <c r="E2903" s="1">
        <f>IFERROR(__xludf.DUMMYFUNCTION("""COMPUTED_VALUE"""),37.15)</f>
        <v>37.15</v>
      </c>
      <c r="F2903" s="1">
        <f>IFERROR(__xludf.DUMMYFUNCTION("""COMPUTED_VALUE"""),207693.0)</f>
        <v>207693</v>
      </c>
    </row>
    <row r="2904">
      <c r="A2904" s="2">
        <f>IFERROR(__xludf.DUMMYFUNCTION("""COMPUTED_VALUE"""),44396.66666666667)</f>
        <v>44396.66667</v>
      </c>
      <c r="B2904" s="1">
        <f>IFERROR(__xludf.DUMMYFUNCTION("""COMPUTED_VALUE"""),36.21)</f>
        <v>36.21</v>
      </c>
      <c r="C2904" s="1">
        <f>IFERROR(__xludf.DUMMYFUNCTION("""COMPUTED_VALUE"""),36.34)</f>
        <v>36.34</v>
      </c>
      <c r="D2904" s="1">
        <f>IFERROR(__xludf.DUMMYFUNCTION("""COMPUTED_VALUE"""),35.51)</f>
        <v>35.51</v>
      </c>
      <c r="E2904" s="1">
        <f>IFERROR(__xludf.DUMMYFUNCTION("""COMPUTED_VALUE"""),35.81)</f>
        <v>35.81</v>
      </c>
      <c r="F2904" s="1">
        <f>IFERROR(__xludf.DUMMYFUNCTION("""COMPUTED_VALUE"""),344210.0)</f>
        <v>344210</v>
      </c>
    </row>
    <row r="2905">
      <c r="A2905" s="2">
        <f>IFERROR(__xludf.DUMMYFUNCTION("""COMPUTED_VALUE"""),44397.66666666667)</f>
        <v>44397.66667</v>
      </c>
      <c r="B2905" s="1">
        <f>IFERROR(__xludf.DUMMYFUNCTION("""COMPUTED_VALUE"""),35.78)</f>
        <v>35.78</v>
      </c>
      <c r="C2905" s="1">
        <f>IFERROR(__xludf.DUMMYFUNCTION("""COMPUTED_VALUE"""),37.72)</f>
        <v>37.72</v>
      </c>
      <c r="D2905" s="1">
        <f>IFERROR(__xludf.DUMMYFUNCTION("""COMPUTED_VALUE"""),35.78)</f>
        <v>35.78</v>
      </c>
      <c r="E2905" s="1">
        <f>IFERROR(__xludf.DUMMYFUNCTION("""COMPUTED_VALUE"""),36.8)</f>
        <v>36.8</v>
      </c>
      <c r="F2905" s="1">
        <f>IFERROR(__xludf.DUMMYFUNCTION("""COMPUTED_VALUE"""),434140.0)</f>
        <v>434140</v>
      </c>
    </row>
    <row r="2906">
      <c r="A2906" s="2">
        <f>IFERROR(__xludf.DUMMYFUNCTION("""COMPUTED_VALUE"""),44398.66666666667)</f>
        <v>44398.66667</v>
      </c>
      <c r="B2906" s="1">
        <f>IFERROR(__xludf.DUMMYFUNCTION("""COMPUTED_VALUE"""),37.32)</f>
        <v>37.32</v>
      </c>
      <c r="C2906" s="1">
        <f>IFERROR(__xludf.DUMMYFUNCTION("""COMPUTED_VALUE"""),37.84)</f>
        <v>37.84</v>
      </c>
      <c r="D2906" s="1">
        <f>IFERROR(__xludf.DUMMYFUNCTION("""COMPUTED_VALUE"""),37.21)</f>
        <v>37.21</v>
      </c>
      <c r="E2906" s="1">
        <f>IFERROR(__xludf.DUMMYFUNCTION("""COMPUTED_VALUE"""),37.49)</f>
        <v>37.49</v>
      </c>
      <c r="F2906" s="1">
        <f>IFERROR(__xludf.DUMMYFUNCTION("""COMPUTED_VALUE"""),183224.0)</f>
        <v>183224</v>
      </c>
    </row>
    <row r="2907">
      <c r="A2907" s="2">
        <f>IFERROR(__xludf.DUMMYFUNCTION("""COMPUTED_VALUE"""),44399.66666666667)</f>
        <v>44399.66667</v>
      </c>
      <c r="B2907" s="1">
        <f>IFERROR(__xludf.DUMMYFUNCTION("""COMPUTED_VALUE"""),37.24)</f>
        <v>37.24</v>
      </c>
      <c r="C2907" s="1">
        <f>IFERROR(__xludf.DUMMYFUNCTION("""COMPUTED_VALUE"""),37.27)</f>
        <v>37.27</v>
      </c>
      <c r="D2907" s="1">
        <f>IFERROR(__xludf.DUMMYFUNCTION("""COMPUTED_VALUE"""),36.23)</f>
        <v>36.23</v>
      </c>
      <c r="E2907" s="1">
        <f>IFERROR(__xludf.DUMMYFUNCTION("""COMPUTED_VALUE"""),36.58)</f>
        <v>36.58</v>
      </c>
      <c r="F2907" s="1">
        <f>IFERROR(__xludf.DUMMYFUNCTION("""COMPUTED_VALUE"""),213815.0)</f>
        <v>213815</v>
      </c>
    </row>
    <row r="2908">
      <c r="A2908" s="2">
        <f>IFERROR(__xludf.DUMMYFUNCTION("""COMPUTED_VALUE"""),44400.66666666667)</f>
        <v>44400.66667</v>
      </c>
      <c r="B2908" s="1">
        <f>IFERROR(__xludf.DUMMYFUNCTION("""COMPUTED_VALUE"""),37.1)</f>
        <v>37.1</v>
      </c>
      <c r="C2908" s="1">
        <f>IFERROR(__xludf.DUMMYFUNCTION("""COMPUTED_VALUE"""),37.96)</f>
        <v>37.96</v>
      </c>
      <c r="D2908" s="1">
        <f>IFERROR(__xludf.DUMMYFUNCTION("""COMPUTED_VALUE"""),36.59)</f>
        <v>36.59</v>
      </c>
      <c r="E2908" s="1">
        <f>IFERROR(__xludf.DUMMYFUNCTION("""COMPUTED_VALUE"""),37.1)</f>
        <v>37.1</v>
      </c>
      <c r="F2908" s="1">
        <f>IFERROR(__xludf.DUMMYFUNCTION("""COMPUTED_VALUE"""),142600.0)</f>
        <v>142600</v>
      </c>
    </row>
    <row r="2909">
      <c r="A2909" s="2">
        <f>IFERROR(__xludf.DUMMYFUNCTION("""COMPUTED_VALUE"""),44403.66666666667)</f>
        <v>44403.66667</v>
      </c>
      <c r="B2909" s="1">
        <f>IFERROR(__xludf.DUMMYFUNCTION("""COMPUTED_VALUE"""),37.38)</f>
        <v>37.38</v>
      </c>
      <c r="C2909" s="1">
        <f>IFERROR(__xludf.DUMMYFUNCTION("""COMPUTED_VALUE"""),37.77)</f>
        <v>37.77</v>
      </c>
      <c r="D2909" s="1">
        <f>IFERROR(__xludf.DUMMYFUNCTION("""COMPUTED_VALUE"""),36.74)</f>
        <v>36.74</v>
      </c>
      <c r="E2909" s="1">
        <f>IFERROR(__xludf.DUMMYFUNCTION("""COMPUTED_VALUE"""),37.1)</f>
        <v>37.1</v>
      </c>
      <c r="F2909" s="1">
        <f>IFERROR(__xludf.DUMMYFUNCTION("""COMPUTED_VALUE"""),216710.0)</f>
        <v>216710</v>
      </c>
    </row>
    <row r="2910">
      <c r="A2910" s="2">
        <f>IFERROR(__xludf.DUMMYFUNCTION("""COMPUTED_VALUE"""),44404.66666666667)</f>
        <v>44404.66667</v>
      </c>
      <c r="B2910" s="1">
        <f>IFERROR(__xludf.DUMMYFUNCTION("""COMPUTED_VALUE"""),36.26)</f>
        <v>36.26</v>
      </c>
      <c r="C2910" s="1">
        <f>IFERROR(__xludf.DUMMYFUNCTION("""COMPUTED_VALUE"""),37.59)</f>
        <v>37.59</v>
      </c>
      <c r="D2910" s="1">
        <f>IFERROR(__xludf.DUMMYFUNCTION("""COMPUTED_VALUE"""),36.21)</f>
        <v>36.21</v>
      </c>
      <c r="E2910" s="1">
        <f>IFERROR(__xludf.DUMMYFUNCTION("""COMPUTED_VALUE"""),37.02)</f>
        <v>37.02</v>
      </c>
      <c r="F2910" s="1">
        <f>IFERROR(__xludf.DUMMYFUNCTION("""COMPUTED_VALUE"""),211056.0)</f>
        <v>211056</v>
      </c>
    </row>
    <row r="2911">
      <c r="A2911" s="2">
        <f>IFERROR(__xludf.DUMMYFUNCTION("""COMPUTED_VALUE"""),44405.66666666667)</f>
        <v>44405.66667</v>
      </c>
      <c r="B2911" s="1">
        <f>IFERROR(__xludf.DUMMYFUNCTION("""COMPUTED_VALUE"""),37.28)</f>
        <v>37.28</v>
      </c>
      <c r="C2911" s="1">
        <f>IFERROR(__xludf.DUMMYFUNCTION("""COMPUTED_VALUE"""),37.86)</f>
        <v>37.86</v>
      </c>
      <c r="D2911" s="1">
        <f>IFERROR(__xludf.DUMMYFUNCTION("""COMPUTED_VALUE"""),36.69)</f>
        <v>36.69</v>
      </c>
      <c r="E2911" s="1">
        <f>IFERROR(__xludf.DUMMYFUNCTION("""COMPUTED_VALUE"""),37.52)</f>
        <v>37.52</v>
      </c>
      <c r="F2911" s="1">
        <f>IFERROR(__xludf.DUMMYFUNCTION("""COMPUTED_VALUE"""),268357.0)</f>
        <v>268357</v>
      </c>
    </row>
    <row r="2912">
      <c r="A2912" s="2">
        <f>IFERROR(__xludf.DUMMYFUNCTION("""COMPUTED_VALUE"""),44406.66666666667)</f>
        <v>44406.66667</v>
      </c>
      <c r="B2912" s="1">
        <f>IFERROR(__xludf.DUMMYFUNCTION("""COMPUTED_VALUE"""),37.78)</f>
        <v>37.78</v>
      </c>
      <c r="C2912" s="1">
        <f>IFERROR(__xludf.DUMMYFUNCTION("""COMPUTED_VALUE"""),38.59)</f>
        <v>38.59</v>
      </c>
      <c r="D2912" s="1">
        <f>IFERROR(__xludf.DUMMYFUNCTION("""COMPUTED_VALUE"""),37.6)</f>
        <v>37.6</v>
      </c>
      <c r="E2912" s="1">
        <f>IFERROR(__xludf.DUMMYFUNCTION("""COMPUTED_VALUE"""),38.17)</f>
        <v>38.17</v>
      </c>
      <c r="F2912" s="1">
        <f>IFERROR(__xludf.DUMMYFUNCTION("""COMPUTED_VALUE"""),284299.0)</f>
        <v>284299</v>
      </c>
    </row>
    <row r="2913">
      <c r="A2913" s="2">
        <f>IFERROR(__xludf.DUMMYFUNCTION("""COMPUTED_VALUE"""),44407.66666666667)</f>
        <v>44407.66667</v>
      </c>
      <c r="B2913" s="1">
        <f>IFERROR(__xludf.DUMMYFUNCTION("""COMPUTED_VALUE"""),37.87)</f>
        <v>37.87</v>
      </c>
      <c r="C2913" s="1">
        <f>IFERROR(__xludf.DUMMYFUNCTION("""COMPUTED_VALUE"""),38.68)</f>
        <v>38.68</v>
      </c>
      <c r="D2913" s="1">
        <f>IFERROR(__xludf.DUMMYFUNCTION("""COMPUTED_VALUE"""),37.76)</f>
        <v>37.76</v>
      </c>
      <c r="E2913" s="1">
        <f>IFERROR(__xludf.DUMMYFUNCTION("""COMPUTED_VALUE"""),37.87)</f>
        <v>37.87</v>
      </c>
      <c r="F2913" s="1">
        <f>IFERROR(__xludf.DUMMYFUNCTION("""COMPUTED_VALUE"""),304513.0)</f>
        <v>304513</v>
      </c>
    </row>
    <row r="2914">
      <c r="A2914" s="2">
        <f>IFERROR(__xludf.DUMMYFUNCTION("""COMPUTED_VALUE"""),44410.66666666667)</f>
        <v>44410.66667</v>
      </c>
      <c r="B2914" s="1">
        <f>IFERROR(__xludf.DUMMYFUNCTION("""COMPUTED_VALUE"""),38.02)</f>
        <v>38.02</v>
      </c>
      <c r="C2914" s="1">
        <f>IFERROR(__xludf.DUMMYFUNCTION("""COMPUTED_VALUE"""),39.02)</f>
        <v>39.02</v>
      </c>
      <c r="D2914" s="1">
        <f>IFERROR(__xludf.DUMMYFUNCTION("""COMPUTED_VALUE"""),37.48)</f>
        <v>37.48</v>
      </c>
      <c r="E2914" s="1">
        <f>IFERROR(__xludf.DUMMYFUNCTION("""COMPUTED_VALUE"""),37.55)</f>
        <v>37.55</v>
      </c>
      <c r="F2914" s="1">
        <f>IFERROR(__xludf.DUMMYFUNCTION("""COMPUTED_VALUE"""),217832.0)</f>
        <v>217832</v>
      </c>
    </row>
    <row r="2915">
      <c r="A2915" s="2">
        <f>IFERROR(__xludf.DUMMYFUNCTION("""COMPUTED_VALUE"""),44411.66666666667)</f>
        <v>44411.66667</v>
      </c>
      <c r="B2915" s="1">
        <f>IFERROR(__xludf.DUMMYFUNCTION("""COMPUTED_VALUE"""),37.58)</f>
        <v>37.58</v>
      </c>
      <c r="C2915" s="1">
        <f>IFERROR(__xludf.DUMMYFUNCTION("""COMPUTED_VALUE"""),38.35)</f>
        <v>38.35</v>
      </c>
      <c r="D2915" s="1">
        <f>IFERROR(__xludf.DUMMYFUNCTION("""COMPUTED_VALUE"""),37.08)</f>
        <v>37.08</v>
      </c>
      <c r="E2915" s="1">
        <f>IFERROR(__xludf.DUMMYFUNCTION("""COMPUTED_VALUE"""),38.12)</f>
        <v>38.12</v>
      </c>
      <c r="F2915" s="1">
        <f>IFERROR(__xludf.DUMMYFUNCTION("""COMPUTED_VALUE"""),293056.0)</f>
        <v>293056</v>
      </c>
    </row>
    <row r="2916">
      <c r="A2916" s="2">
        <f>IFERROR(__xludf.DUMMYFUNCTION("""COMPUTED_VALUE"""),44412.66666666667)</f>
        <v>44412.66667</v>
      </c>
      <c r="B2916" s="1">
        <f>IFERROR(__xludf.DUMMYFUNCTION("""COMPUTED_VALUE"""),37.51)</f>
        <v>37.51</v>
      </c>
      <c r="C2916" s="1">
        <f>IFERROR(__xludf.DUMMYFUNCTION("""COMPUTED_VALUE"""),38.4)</f>
        <v>38.4</v>
      </c>
      <c r="D2916" s="1">
        <f>IFERROR(__xludf.DUMMYFUNCTION("""COMPUTED_VALUE"""),37.35)</f>
        <v>37.35</v>
      </c>
      <c r="E2916" s="1">
        <f>IFERROR(__xludf.DUMMYFUNCTION("""COMPUTED_VALUE"""),37.75)</f>
        <v>37.75</v>
      </c>
      <c r="F2916" s="1">
        <f>IFERROR(__xludf.DUMMYFUNCTION("""COMPUTED_VALUE"""),220584.0)</f>
        <v>220584</v>
      </c>
    </row>
    <row r="2917">
      <c r="A2917" s="2">
        <f>IFERROR(__xludf.DUMMYFUNCTION("""COMPUTED_VALUE"""),44413.66666666667)</f>
        <v>44413.66667</v>
      </c>
      <c r="B2917" s="1">
        <f>IFERROR(__xludf.DUMMYFUNCTION("""COMPUTED_VALUE"""),37.91)</f>
        <v>37.91</v>
      </c>
      <c r="C2917" s="1">
        <f>IFERROR(__xludf.DUMMYFUNCTION("""COMPUTED_VALUE"""),38.83)</f>
        <v>38.83</v>
      </c>
      <c r="D2917" s="1">
        <f>IFERROR(__xludf.DUMMYFUNCTION("""COMPUTED_VALUE"""),37.91)</f>
        <v>37.91</v>
      </c>
      <c r="E2917" s="1">
        <f>IFERROR(__xludf.DUMMYFUNCTION("""COMPUTED_VALUE"""),38.78)</f>
        <v>38.78</v>
      </c>
      <c r="F2917" s="1">
        <f>IFERROR(__xludf.DUMMYFUNCTION("""COMPUTED_VALUE"""),264298.0)</f>
        <v>264298</v>
      </c>
    </row>
    <row r="2918">
      <c r="A2918" s="2">
        <f>IFERROR(__xludf.DUMMYFUNCTION("""COMPUTED_VALUE"""),44414.66666666667)</f>
        <v>44414.66667</v>
      </c>
      <c r="B2918" s="1">
        <f>IFERROR(__xludf.DUMMYFUNCTION("""COMPUTED_VALUE"""),39.44)</f>
        <v>39.44</v>
      </c>
      <c r="C2918" s="1">
        <f>IFERROR(__xludf.DUMMYFUNCTION("""COMPUTED_VALUE"""),40.18)</f>
        <v>40.18</v>
      </c>
      <c r="D2918" s="1">
        <f>IFERROR(__xludf.DUMMYFUNCTION("""COMPUTED_VALUE"""),39.26)</f>
        <v>39.26</v>
      </c>
      <c r="E2918" s="1">
        <f>IFERROR(__xludf.DUMMYFUNCTION("""COMPUTED_VALUE"""),39.8)</f>
        <v>39.8</v>
      </c>
      <c r="F2918" s="1">
        <f>IFERROR(__xludf.DUMMYFUNCTION("""COMPUTED_VALUE"""),196540.0)</f>
        <v>196540</v>
      </c>
    </row>
    <row r="2919">
      <c r="A2919" s="2">
        <f>IFERROR(__xludf.DUMMYFUNCTION("""COMPUTED_VALUE"""),44417.66666666667)</f>
        <v>44417.66667</v>
      </c>
      <c r="B2919" s="1">
        <f>IFERROR(__xludf.DUMMYFUNCTION("""COMPUTED_VALUE"""),38.85)</f>
        <v>38.85</v>
      </c>
      <c r="C2919" s="1">
        <f>IFERROR(__xludf.DUMMYFUNCTION("""COMPUTED_VALUE"""),39.63)</f>
        <v>39.63</v>
      </c>
      <c r="D2919" s="1">
        <f>IFERROR(__xludf.DUMMYFUNCTION("""COMPUTED_VALUE"""),38.85)</f>
        <v>38.85</v>
      </c>
      <c r="E2919" s="1">
        <f>IFERROR(__xludf.DUMMYFUNCTION("""COMPUTED_VALUE"""),38.99)</f>
        <v>38.99</v>
      </c>
      <c r="F2919" s="1">
        <f>IFERROR(__xludf.DUMMYFUNCTION("""COMPUTED_VALUE"""),391575.0)</f>
        <v>391575</v>
      </c>
    </row>
    <row r="2920">
      <c r="A2920" s="2">
        <f>IFERROR(__xludf.DUMMYFUNCTION("""COMPUTED_VALUE"""),44418.66666666667)</f>
        <v>44418.66667</v>
      </c>
      <c r="B2920" s="1">
        <f>IFERROR(__xludf.DUMMYFUNCTION("""COMPUTED_VALUE"""),38.86)</f>
        <v>38.86</v>
      </c>
      <c r="C2920" s="1">
        <f>IFERROR(__xludf.DUMMYFUNCTION("""COMPUTED_VALUE"""),39.63)</f>
        <v>39.63</v>
      </c>
      <c r="D2920" s="1">
        <f>IFERROR(__xludf.DUMMYFUNCTION("""COMPUTED_VALUE"""),38.8)</f>
        <v>38.8</v>
      </c>
      <c r="E2920" s="1">
        <f>IFERROR(__xludf.DUMMYFUNCTION("""COMPUTED_VALUE"""),39.56)</f>
        <v>39.56</v>
      </c>
      <c r="F2920" s="1">
        <f>IFERROR(__xludf.DUMMYFUNCTION("""COMPUTED_VALUE"""),169044.0)</f>
        <v>169044</v>
      </c>
    </row>
    <row r="2921">
      <c r="A2921" s="2">
        <f>IFERROR(__xludf.DUMMYFUNCTION("""COMPUTED_VALUE"""),44419.66666666667)</f>
        <v>44419.66667</v>
      </c>
      <c r="B2921" s="1">
        <f>IFERROR(__xludf.DUMMYFUNCTION("""COMPUTED_VALUE"""),39.57)</f>
        <v>39.57</v>
      </c>
      <c r="C2921" s="1">
        <f>IFERROR(__xludf.DUMMYFUNCTION("""COMPUTED_VALUE"""),40.27)</f>
        <v>40.27</v>
      </c>
      <c r="D2921" s="1">
        <f>IFERROR(__xludf.DUMMYFUNCTION("""COMPUTED_VALUE"""),39.18)</f>
        <v>39.18</v>
      </c>
      <c r="E2921" s="1">
        <f>IFERROR(__xludf.DUMMYFUNCTION("""COMPUTED_VALUE"""),40.27)</f>
        <v>40.27</v>
      </c>
      <c r="F2921" s="1">
        <f>IFERROR(__xludf.DUMMYFUNCTION("""COMPUTED_VALUE"""),205179.0)</f>
        <v>205179</v>
      </c>
    </row>
    <row r="2922">
      <c r="A2922" s="2">
        <f>IFERROR(__xludf.DUMMYFUNCTION("""COMPUTED_VALUE"""),44420.66666666667)</f>
        <v>44420.66667</v>
      </c>
      <c r="B2922" s="1">
        <f>IFERROR(__xludf.DUMMYFUNCTION("""COMPUTED_VALUE"""),40.48)</f>
        <v>40.48</v>
      </c>
      <c r="C2922" s="1">
        <f>IFERROR(__xludf.DUMMYFUNCTION("""COMPUTED_VALUE"""),40.48)</f>
        <v>40.48</v>
      </c>
      <c r="D2922" s="1">
        <f>IFERROR(__xludf.DUMMYFUNCTION("""COMPUTED_VALUE"""),39.7)</f>
        <v>39.7</v>
      </c>
      <c r="E2922" s="1">
        <f>IFERROR(__xludf.DUMMYFUNCTION("""COMPUTED_VALUE"""),39.93)</f>
        <v>39.93</v>
      </c>
      <c r="F2922" s="1">
        <f>IFERROR(__xludf.DUMMYFUNCTION("""COMPUTED_VALUE"""),159424.0)</f>
        <v>159424</v>
      </c>
    </row>
    <row r="2923">
      <c r="A2923" s="2">
        <f>IFERROR(__xludf.DUMMYFUNCTION("""COMPUTED_VALUE"""),44421.66666666667)</f>
        <v>44421.66667</v>
      </c>
      <c r="B2923" s="1">
        <f>IFERROR(__xludf.DUMMYFUNCTION("""COMPUTED_VALUE"""),39.99)</f>
        <v>39.99</v>
      </c>
      <c r="C2923" s="1">
        <f>IFERROR(__xludf.DUMMYFUNCTION("""COMPUTED_VALUE"""),40.09)</f>
        <v>40.09</v>
      </c>
      <c r="D2923" s="1">
        <f>IFERROR(__xludf.DUMMYFUNCTION("""COMPUTED_VALUE"""),39.34)</f>
        <v>39.34</v>
      </c>
      <c r="E2923" s="1">
        <f>IFERROR(__xludf.DUMMYFUNCTION("""COMPUTED_VALUE"""),39.45)</f>
        <v>39.45</v>
      </c>
      <c r="F2923" s="1">
        <f>IFERROR(__xludf.DUMMYFUNCTION("""COMPUTED_VALUE"""),107504.0)</f>
        <v>107504</v>
      </c>
    </row>
    <row r="2924">
      <c r="A2924" s="2">
        <f>IFERROR(__xludf.DUMMYFUNCTION("""COMPUTED_VALUE"""),44424.66666666667)</f>
        <v>44424.66667</v>
      </c>
      <c r="B2924" s="1">
        <f>IFERROR(__xludf.DUMMYFUNCTION("""COMPUTED_VALUE"""),39.04)</f>
        <v>39.04</v>
      </c>
      <c r="C2924" s="1">
        <f>IFERROR(__xludf.DUMMYFUNCTION("""COMPUTED_VALUE"""),39.6)</f>
        <v>39.6</v>
      </c>
      <c r="D2924" s="1">
        <f>IFERROR(__xludf.DUMMYFUNCTION("""COMPUTED_VALUE"""),38.72)</f>
        <v>38.72</v>
      </c>
      <c r="E2924" s="1">
        <f>IFERROR(__xludf.DUMMYFUNCTION("""COMPUTED_VALUE"""),39.51)</f>
        <v>39.51</v>
      </c>
      <c r="F2924" s="1">
        <f>IFERROR(__xludf.DUMMYFUNCTION("""COMPUTED_VALUE"""),177494.0)</f>
        <v>177494</v>
      </c>
    </row>
    <row r="2925">
      <c r="A2925" s="2">
        <f>IFERROR(__xludf.DUMMYFUNCTION("""COMPUTED_VALUE"""),44425.66666666667)</f>
        <v>44425.66667</v>
      </c>
      <c r="B2925" s="1">
        <f>IFERROR(__xludf.DUMMYFUNCTION("""COMPUTED_VALUE"""),39.1)</f>
        <v>39.1</v>
      </c>
      <c r="C2925" s="1">
        <f>IFERROR(__xludf.DUMMYFUNCTION("""COMPUTED_VALUE"""),39.41)</f>
        <v>39.41</v>
      </c>
      <c r="D2925" s="1">
        <f>IFERROR(__xludf.DUMMYFUNCTION("""COMPUTED_VALUE"""),38.62)</f>
        <v>38.62</v>
      </c>
      <c r="E2925" s="1">
        <f>IFERROR(__xludf.DUMMYFUNCTION("""COMPUTED_VALUE"""),39.1)</f>
        <v>39.1</v>
      </c>
      <c r="F2925" s="1">
        <f>IFERROR(__xludf.DUMMYFUNCTION("""COMPUTED_VALUE"""),207219.0)</f>
        <v>207219</v>
      </c>
    </row>
    <row r="2926">
      <c r="A2926" s="2">
        <f>IFERROR(__xludf.DUMMYFUNCTION("""COMPUTED_VALUE"""),44426.66666666667)</f>
        <v>44426.66667</v>
      </c>
      <c r="B2926" s="1">
        <f>IFERROR(__xludf.DUMMYFUNCTION("""COMPUTED_VALUE"""),38.84)</f>
        <v>38.84</v>
      </c>
      <c r="C2926" s="1">
        <f>IFERROR(__xludf.DUMMYFUNCTION("""COMPUTED_VALUE"""),39.43)</f>
        <v>39.43</v>
      </c>
      <c r="D2926" s="1">
        <f>IFERROR(__xludf.DUMMYFUNCTION("""COMPUTED_VALUE"""),38.68)</f>
        <v>38.68</v>
      </c>
      <c r="E2926" s="1">
        <f>IFERROR(__xludf.DUMMYFUNCTION("""COMPUTED_VALUE"""),38.71)</f>
        <v>38.71</v>
      </c>
      <c r="F2926" s="1">
        <f>IFERROR(__xludf.DUMMYFUNCTION("""COMPUTED_VALUE"""),337309.0)</f>
        <v>337309</v>
      </c>
    </row>
    <row r="2927">
      <c r="A2927" s="2">
        <f>IFERROR(__xludf.DUMMYFUNCTION("""COMPUTED_VALUE"""),44427.66666666667)</f>
        <v>44427.66667</v>
      </c>
      <c r="B2927" s="1">
        <f>IFERROR(__xludf.DUMMYFUNCTION("""COMPUTED_VALUE"""),38.36)</f>
        <v>38.36</v>
      </c>
      <c r="C2927" s="1">
        <f>IFERROR(__xludf.DUMMYFUNCTION("""COMPUTED_VALUE"""),38.96)</f>
        <v>38.96</v>
      </c>
      <c r="D2927" s="1">
        <f>IFERROR(__xludf.DUMMYFUNCTION("""COMPUTED_VALUE"""),38.04)</f>
        <v>38.04</v>
      </c>
      <c r="E2927" s="1">
        <f>IFERROR(__xludf.DUMMYFUNCTION("""COMPUTED_VALUE"""),38.39)</f>
        <v>38.39</v>
      </c>
      <c r="F2927" s="1">
        <f>IFERROR(__xludf.DUMMYFUNCTION("""COMPUTED_VALUE"""),309951.0)</f>
        <v>309951</v>
      </c>
    </row>
    <row r="2928">
      <c r="A2928" s="2">
        <f>IFERROR(__xludf.DUMMYFUNCTION("""COMPUTED_VALUE"""),44428.66666666667)</f>
        <v>44428.66667</v>
      </c>
      <c r="B2928" s="1">
        <f>IFERROR(__xludf.DUMMYFUNCTION("""COMPUTED_VALUE"""),38.27)</f>
        <v>38.27</v>
      </c>
      <c r="C2928" s="1">
        <f>IFERROR(__xludf.DUMMYFUNCTION("""COMPUTED_VALUE"""),39.2)</f>
        <v>39.2</v>
      </c>
      <c r="D2928" s="1">
        <f>IFERROR(__xludf.DUMMYFUNCTION("""COMPUTED_VALUE"""),38.22)</f>
        <v>38.22</v>
      </c>
      <c r="E2928" s="1">
        <f>IFERROR(__xludf.DUMMYFUNCTION("""COMPUTED_VALUE"""),39.18)</f>
        <v>39.18</v>
      </c>
      <c r="F2928" s="1">
        <f>IFERROR(__xludf.DUMMYFUNCTION("""COMPUTED_VALUE"""),230652.0)</f>
        <v>230652</v>
      </c>
    </row>
    <row r="2929">
      <c r="A2929" s="2">
        <f>IFERROR(__xludf.DUMMYFUNCTION("""COMPUTED_VALUE"""),44431.66666666667)</f>
        <v>44431.66667</v>
      </c>
      <c r="B2929" s="1">
        <f>IFERROR(__xludf.DUMMYFUNCTION("""COMPUTED_VALUE"""),39.42)</f>
        <v>39.42</v>
      </c>
      <c r="C2929" s="1">
        <f>IFERROR(__xludf.DUMMYFUNCTION("""COMPUTED_VALUE"""),39.64)</f>
        <v>39.64</v>
      </c>
      <c r="D2929" s="1">
        <f>IFERROR(__xludf.DUMMYFUNCTION("""COMPUTED_VALUE"""),39.1)</f>
        <v>39.1</v>
      </c>
      <c r="E2929" s="1">
        <f>IFERROR(__xludf.DUMMYFUNCTION("""COMPUTED_VALUE"""),39.26)</f>
        <v>39.26</v>
      </c>
      <c r="F2929" s="1">
        <f>IFERROR(__xludf.DUMMYFUNCTION("""COMPUTED_VALUE"""),198810.0)</f>
        <v>198810</v>
      </c>
    </row>
    <row r="2930">
      <c r="A2930" s="2">
        <f>IFERROR(__xludf.DUMMYFUNCTION("""COMPUTED_VALUE"""),44432.66666666667)</f>
        <v>44432.66667</v>
      </c>
      <c r="B2930" s="1">
        <f>IFERROR(__xludf.DUMMYFUNCTION("""COMPUTED_VALUE"""),39.3)</f>
        <v>39.3</v>
      </c>
      <c r="C2930" s="1">
        <f>IFERROR(__xludf.DUMMYFUNCTION("""COMPUTED_VALUE"""),39.77)</f>
        <v>39.77</v>
      </c>
      <c r="D2930" s="1">
        <f>IFERROR(__xludf.DUMMYFUNCTION("""COMPUTED_VALUE"""),39.16)</f>
        <v>39.16</v>
      </c>
      <c r="E2930" s="1">
        <f>IFERROR(__xludf.DUMMYFUNCTION("""COMPUTED_VALUE"""),39.69)</f>
        <v>39.69</v>
      </c>
      <c r="F2930" s="1">
        <f>IFERROR(__xludf.DUMMYFUNCTION("""COMPUTED_VALUE"""),271675.0)</f>
        <v>271675</v>
      </c>
    </row>
    <row r="2931">
      <c r="A2931" s="2">
        <f>IFERROR(__xludf.DUMMYFUNCTION("""COMPUTED_VALUE"""),44433.66666666667)</f>
        <v>44433.66667</v>
      </c>
      <c r="B2931" s="1">
        <f>IFERROR(__xludf.DUMMYFUNCTION("""COMPUTED_VALUE"""),39.76)</f>
        <v>39.76</v>
      </c>
      <c r="C2931" s="1">
        <f>IFERROR(__xludf.DUMMYFUNCTION("""COMPUTED_VALUE"""),40.32)</f>
        <v>40.32</v>
      </c>
      <c r="D2931" s="1">
        <f>IFERROR(__xludf.DUMMYFUNCTION("""COMPUTED_VALUE"""),39.71)</f>
        <v>39.71</v>
      </c>
      <c r="E2931" s="1">
        <f>IFERROR(__xludf.DUMMYFUNCTION("""COMPUTED_VALUE"""),39.81)</f>
        <v>39.81</v>
      </c>
      <c r="F2931" s="1">
        <f>IFERROR(__xludf.DUMMYFUNCTION("""COMPUTED_VALUE"""),195858.0)</f>
        <v>195858</v>
      </c>
    </row>
    <row r="2932">
      <c r="A2932" s="2">
        <f>IFERROR(__xludf.DUMMYFUNCTION("""COMPUTED_VALUE"""),44434.66666666667)</f>
        <v>44434.66667</v>
      </c>
      <c r="B2932" s="1">
        <f>IFERROR(__xludf.DUMMYFUNCTION("""COMPUTED_VALUE"""),39.83)</f>
        <v>39.83</v>
      </c>
      <c r="C2932" s="1">
        <f>IFERROR(__xludf.DUMMYFUNCTION("""COMPUTED_VALUE"""),39.86)</f>
        <v>39.86</v>
      </c>
      <c r="D2932" s="1">
        <f>IFERROR(__xludf.DUMMYFUNCTION("""COMPUTED_VALUE"""),39.28)</f>
        <v>39.28</v>
      </c>
      <c r="E2932" s="1">
        <f>IFERROR(__xludf.DUMMYFUNCTION("""COMPUTED_VALUE"""),39.35)</f>
        <v>39.35</v>
      </c>
      <c r="F2932" s="1">
        <f>IFERROR(__xludf.DUMMYFUNCTION("""COMPUTED_VALUE"""),278749.0)</f>
        <v>278749</v>
      </c>
    </row>
    <row r="2933">
      <c r="A2933" s="2">
        <f>IFERROR(__xludf.DUMMYFUNCTION("""COMPUTED_VALUE"""),44435.66666666667)</f>
        <v>44435.66667</v>
      </c>
      <c r="B2933" s="1">
        <f>IFERROR(__xludf.DUMMYFUNCTION("""COMPUTED_VALUE"""),39.28)</f>
        <v>39.28</v>
      </c>
      <c r="C2933" s="1">
        <f>IFERROR(__xludf.DUMMYFUNCTION("""COMPUTED_VALUE"""),40.33)</f>
        <v>40.33</v>
      </c>
      <c r="D2933" s="1">
        <f>IFERROR(__xludf.DUMMYFUNCTION("""COMPUTED_VALUE"""),39.26)</f>
        <v>39.26</v>
      </c>
      <c r="E2933" s="1">
        <f>IFERROR(__xludf.DUMMYFUNCTION("""COMPUTED_VALUE"""),40.31)</f>
        <v>40.31</v>
      </c>
      <c r="F2933" s="1">
        <f>IFERROR(__xludf.DUMMYFUNCTION("""COMPUTED_VALUE"""),301447.0)</f>
        <v>301447</v>
      </c>
    </row>
    <row r="2934">
      <c r="A2934" s="2">
        <f>IFERROR(__xludf.DUMMYFUNCTION("""COMPUTED_VALUE"""),44438.66666666667)</f>
        <v>44438.66667</v>
      </c>
      <c r="B2934" s="1">
        <f>IFERROR(__xludf.DUMMYFUNCTION("""COMPUTED_VALUE"""),40.5)</f>
        <v>40.5</v>
      </c>
      <c r="C2934" s="1">
        <f>IFERROR(__xludf.DUMMYFUNCTION("""COMPUTED_VALUE"""),40.5)</f>
        <v>40.5</v>
      </c>
      <c r="D2934" s="1">
        <f>IFERROR(__xludf.DUMMYFUNCTION("""COMPUTED_VALUE"""),39.4)</f>
        <v>39.4</v>
      </c>
      <c r="E2934" s="1">
        <f>IFERROR(__xludf.DUMMYFUNCTION("""COMPUTED_VALUE"""),39.48)</f>
        <v>39.48</v>
      </c>
      <c r="F2934" s="1">
        <f>IFERROR(__xludf.DUMMYFUNCTION("""COMPUTED_VALUE"""),266530.0)</f>
        <v>266530</v>
      </c>
    </row>
    <row r="2935">
      <c r="A2935" s="2">
        <f>IFERROR(__xludf.DUMMYFUNCTION("""COMPUTED_VALUE"""),44439.66666666667)</f>
        <v>44439.66667</v>
      </c>
      <c r="B2935" s="1">
        <f>IFERROR(__xludf.DUMMYFUNCTION("""COMPUTED_VALUE"""),39.82)</f>
        <v>39.82</v>
      </c>
      <c r="C2935" s="1">
        <f>IFERROR(__xludf.DUMMYFUNCTION("""COMPUTED_VALUE"""),40.1)</f>
        <v>40.1</v>
      </c>
      <c r="D2935" s="1">
        <f>IFERROR(__xludf.DUMMYFUNCTION("""COMPUTED_VALUE"""),39.36)</f>
        <v>39.36</v>
      </c>
      <c r="E2935" s="1">
        <f>IFERROR(__xludf.DUMMYFUNCTION("""COMPUTED_VALUE"""),39.78)</f>
        <v>39.78</v>
      </c>
      <c r="F2935" s="1">
        <f>IFERROR(__xludf.DUMMYFUNCTION("""COMPUTED_VALUE"""),221014.0)</f>
        <v>221014</v>
      </c>
    </row>
    <row r="2936">
      <c r="A2936" s="2">
        <f>IFERROR(__xludf.DUMMYFUNCTION("""COMPUTED_VALUE"""),44440.66666666667)</f>
        <v>44440.66667</v>
      </c>
      <c r="B2936" s="1">
        <f>IFERROR(__xludf.DUMMYFUNCTION("""COMPUTED_VALUE"""),39.78)</f>
        <v>39.78</v>
      </c>
      <c r="C2936" s="1">
        <f>IFERROR(__xludf.DUMMYFUNCTION("""COMPUTED_VALUE"""),39.78)</f>
        <v>39.78</v>
      </c>
      <c r="D2936" s="1">
        <f>IFERROR(__xludf.DUMMYFUNCTION("""COMPUTED_VALUE"""),39.24)</f>
        <v>39.24</v>
      </c>
      <c r="E2936" s="1">
        <f>IFERROR(__xludf.DUMMYFUNCTION("""COMPUTED_VALUE"""),39.52)</f>
        <v>39.52</v>
      </c>
      <c r="F2936" s="1">
        <f>IFERROR(__xludf.DUMMYFUNCTION("""COMPUTED_VALUE"""),211470.0)</f>
        <v>211470</v>
      </c>
    </row>
    <row r="2937">
      <c r="A2937" s="2">
        <f>IFERROR(__xludf.DUMMYFUNCTION("""COMPUTED_VALUE"""),44441.66666666667)</f>
        <v>44441.66667</v>
      </c>
      <c r="B2937" s="1">
        <f>IFERROR(__xludf.DUMMYFUNCTION("""COMPUTED_VALUE"""),39.58)</f>
        <v>39.58</v>
      </c>
      <c r="C2937" s="1">
        <f>IFERROR(__xludf.DUMMYFUNCTION("""COMPUTED_VALUE"""),39.75)</f>
        <v>39.75</v>
      </c>
      <c r="D2937" s="1">
        <f>IFERROR(__xludf.DUMMYFUNCTION("""COMPUTED_VALUE"""),39.13)</f>
        <v>39.13</v>
      </c>
      <c r="E2937" s="1">
        <f>IFERROR(__xludf.DUMMYFUNCTION("""COMPUTED_VALUE"""),39.16)</f>
        <v>39.16</v>
      </c>
      <c r="F2937" s="1">
        <f>IFERROR(__xludf.DUMMYFUNCTION("""COMPUTED_VALUE"""),348588.0)</f>
        <v>348588</v>
      </c>
    </row>
    <row r="2938">
      <c r="A2938" s="2">
        <f>IFERROR(__xludf.DUMMYFUNCTION("""COMPUTED_VALUE"""),44442.66666666667)</f>
        <v>44442.66667</v>
      </c>
      <c r="B2938" s="1">
        <f>IFERROR(__xludf.DUMMYFUNCTION("""COMPUTED_VALUE"""),40.0)</f>
        <v>40</v>
      </c>
      <c r="C2938" s="1">
        <f>IFERROR(__xludf.DUMMYFUNCTION("""COMPUTED_VALUE"""),40.19)</f>
        <v>40.19</v>
      </c>
      <c r="D2938" s="1">
        <f>IFERROR(__xludf.DUMMYFUNCTION("""COMPUTED_VALUE"""),39.59)</f>
        <v>39.59</v>
      </c>
      <c r="E2938" s="1">
        <f>IFERROR(__xludf.DUMMYFUNCTION("""COMPUTED_VALUE"""),39.79)</f>
        <v>39.79</v>
      </c>
      <c r="F2938" s="1">
        <f>IFERROR(__xludf.DUMMYFUNCTION("""COMPUTED_VALUE"""),367516.0)</f>
        <v>367516</v>
      </c>
    </row>
    <row r="2939">
      <c r="A2939" s="2">
        <f>IFERROR(__xludf.DUMMYFUNCTION("""COMPUTED_VALUE"""),44446.66666666667)</f>
        <v>44446.66667</v>
      </c>
      <c r="B2939" s="1">
        <f>IFERROR(__xludf.DUMMYFUNCTION("""COMPUTED_VALUE"""),39.93)</f>
        <v>39.93</v>
      </c>
      <c r="C2939" s="1">
        <f>IFERROR(__xludf.DUMMYFUNCTION("""COMPUTED_VALUE"""),41.3)</f>
        <v>41.3</v>
      </c>
      <c r="D2939" s="1">
        <f>IFERROR(__xludf.DUMMYFUNCTION("""COMPUTED_VALUE"""),39.9)</f>
        <v>39.9</v>
      </c>
      <c r="E2939" s="1">
        <f>IFERROR(__xludf.DUMMYFUNCTION("""COMPUTED_VALUE"""),40.57)</f>
        <v>40.57</v>
      </c>
      <c r="F2939" s="1">
        <f>IFERROR(__xludf.DUMMYFUNCTION("""COMPUTED_VALUE"""),527376.0)</f>
        <v>527376</v>
      </c>
    </row>
    <row r="2940">
      <c r="A2940" s="2">
        <f>IFERROR(__xludf.DUMMYFUNCTION("""COMPUTED_VALUE"""),44447.66666666667)</f>
        <v>44447.66667</v>
      </c>
      <c r="B2940" s="1">
        <f>IFERROR(__xludf.DUMMYFUNCTION("""COMPUTED_VALUE"""),40.23)</f>
        <v>40.23</v>
      </c>
      <c r="C2940" s="1">
        <f>IFERROR(__xludf.DUMMYFUNCTION("""COMPUTED_VALUE"""),40.66)</f>
        <v>40.66</v>
      </c>
      <c r="D2940" s="1">
        <f>IFERROR(__xludf.DUMMYFUNCTION("""COMPUTED_VALUE"""),39.7)</f>
        <v>39.7</v>
      </c>
      <c r="E2940" s="1">
        <f>IFERROR(__xludf.DUMMYFUNCTION("""COMPUTED_VALUE"""),39.84)</f>
        <v>39.84</v>
      </c>
      <c r="F2940" s="1">
        <f>IFERROR(__xludf.DUMMYFUNCTION("""COMPUTED_VALUE"""),297075.0)</f>
        <v>297075</v>
      </c>
    </row>
    <row r="2941">
      <c r="A2941" s="2">
        <f>IFERROR(__xludf.DUMMYFUNCTION("""COMPUTED_VALUE"""),44448.66666666667)</f>
        <v>44448.66667</v>
      </c>
      <c r="B2941" s="1">
        <f>IFERROR(__xludf.DUMMYFUNCTION("""COMPUTED_VALUE"""),39.69)</f>
        <v>39.69</v>
      </c>
      <c r="C2941" s="1">
        <f>IFERROR(__xludf.DUMMYFUNCTION("""COMPUTED_VALUE"""),40.73)</f>
        <v>40.73</v>
      </c>
      <c r="D2941" s="1">
        <f>IFERROR(__xludf.DUMMYFUNCTION("""COMPUTED_VALUE"""),39.69)</f>
        <v>39.69</v>
      </c>
      <c r="E2941" s="1">
        <f>IFERROR(__xludf.DUMMYFUNCTION("""COMPUTED_VALUE"""),40.03)</f>
        <v>40.03</v>
      </c>
      <c r="F2941" s="1">
        <f>IFERROR(__xludf.DUMMYFUNCTION("""COMPUTED_VALUE"""),368476.0)</f>
        <v>368476</v>
      </c>
    </row>
    <row r="2942">
      <c r="A2942" s="2">
        <f>IFERROR(__xludf.DUMMYFUNCTION("""COMPUTED_VALUE"""),44449.66666666667)</f>
        <v>44449.66667</v>
      </c>
      <c r="B2942" s="1">
        <f>IFERROR(__xludf.DUMMYFUNCTION("""COMPUTED_VALUE"""),40.19)</f>
        <v>40.19</v>
      </c>
      <c r="C2942" s="1">
        <f>IFERROR(__xludf.DUMMYFUNCTION("""COMPUTED_VALUE"""),40.73)</f>
        <v>40.73</v>
      </c>
      <c r="D2942" s="1">
        <f>IFERROR(__xludf.DUMMYFUNCTION("""COMPUTED_VALUE"""),40.07)</f>
        <v>40.07</v>
      </c>
      <c r="E2942" s="1">
        <f>IFERROR(__xludf.DUMMYFUNCTION("""COMPUTED_VALUE"""),40.21)</f>
        <v>40.21</v>
      </c>
      <c r="F2942" s="1">
        <f>IFERROR(__xludf.DUMMYFUNCTION("""COMPUTED_VALUE"""),388765.0)</f>
        <v>388765</v>
      </c>
    </row>
    <row r="2943">
      <c r="A2943" s="2">
        <f>IFERROR(__xludf.DUMMYFUNCTION("""COMPUTED_VALUE"""),44452.66666666667)</f>
        <v>44452.66667</v>
      </c>
      <c r="B2943" s="1">
        <f>IFERROR(__xludf.DUMMYFUNCTION("""COMPUTED_VALUE"""),40.64)</f>
        <v>40.64</v>
      </c>
      <c r="C2943" s="1">
        <f>IFERROR(__xludf.DUMMYFUNCTION("""COMPUTED_VALUE"""),40.67)</f>
        <v>40.67</v>
      </c>
      <c r="D2943" s="1">
        <f>IFERROR(__xludf.DUMMYFUNCTION("""COMPUTED_VALUE"""),39.99)</f>
        <v>39.99</v>
      </c>
      <c r="E2943" s="1">
        <f>IFERROR(__xludf.DUMMYFUNCTION("""COMPUTED_VALUE"""),40.28)</f>
        <v>40.28</v>
      </c>
      <c r="F2943" s="1">
        <f>IFERROR(__xludf.DUMMYFUNCTION("""COMPUTED_VALUE"""),296879.0)</f>
        <v>296879</v>
      </c>
    </row>
    <row r="2944">
      <c r="A2944" s="2">
        <f>IFERROR(__xludf.DUMMYFUNCTION("""COMPUTED_VALUE"""),44453.66666666667)</f>
        <v>44453.66667</v>
      </c>
      <c r="B2944" s="1">
        <f>IFERROR(__xludf.DUMMYFUNCTION("""COMPUTED_VALUE"""),40.28)</f>
        <v>40.28</v>
      </c>
      <c r="C2944" s="1">
        <f>IFERROR(__xludf.DUMMYFUNCTION("""COMPUTED_VALUE"""),40.36)</f>
        <v>40.36</v>
      </c>
      <c r="D2944" s="1">
        <f>IFERROR(__xludf.DUMMYFUNCTION("""COMPUTED_VALUE"""),39.63)</f>
        <v>39.63</v>
      </c>
      <c r="E2944" s="1">
        <f>IFERROR(__xludf.DUMMYFUNCTION("""COMPUTED_VALUE"""),39.75)</f>
        <v>39.75</v>
      </c>
      <c r="F2944" s="1">
        <f>IFERROR(__xludf.DUMMYFUNCTION("""COMPUTED_VALUE"""),299766.0)</f>
        <v>299766</v>
      </c>
    </row>
    <row r="2945">
      <c r="A2945" s="2">
        <f>IFERROR(__xludf.DUMMYFUNCTION("""COMPUTED_VALUE"""),44454.66666666667)</f>
        <v>44454.66667</v>
      </c>
      <c r="B2945" s="1">
        <f>IFERROR(__xludf.DUMMYFUNCTION("""COMPUTED_VALUE"""),39.75)</f>
        <v>39.75</v>
      </c>
      <c r="C2945" s="1">
        <f>IFERROR(__xludf.DUMMYFUNCTION("""COMPUTED_VALUE"""),40.43)</f>
        <v>40.43</v>
      </c>
      <c r="D2945" s="1">
        <f>IFERROR(__xludf.DUMMYFUNCTION("""COMPUTED_VALUE"""),39.75)</f>
        <v>39.75</v>
      </c>
      <c r="E2945" s="1">
        <f>IFERROR(__xludf.DUMMYFUNCTION("""COMPUTED_VALUE"""),40.27)</f>
        <v>40.27</v>
      </c>
      <c r="F2945" s="1">
        <f>IFERROR(__xludf.DUMMYFUNCTION("""COMPUTED_VALUE"""),336905.0)</f>
        <v>336905</v>
      </c>
    </row>
    <row r="2946">
      <c r="A2946" s="2">
        <f>IFERROR(__xludf.DUMMYFUNCTION("""COMPUTED_VALUE"""),44455.66666666667)</f>
        <v>44455.66667</v>
      </c>
      <c r="B2946" s="1">
        <f>IFERROR(__xludf.DUMMYFUNCTION("""COMPUTED_VALUE"""),40.4)</f>
        <v>40.4</v>
      </c>
      <c r="C2946" s="1">
        <f>IFERROR(__xludf.DUMMYFUNCTION("""COMPUTED_VALUE"""),40.59)</f>
        <v>40.59</v>
      </c>
      <c r="D2946" s="1">
        <f>IFERROR(__xludf.DUMMYFUNCTION("""COMPUTED_VALUE"""),39.79)</f>
        <v>39.79</v>
      </c>
      <c r="E2946" s="1">
        <f>IFERROR(__xludf.DUMMYFUNCTION("""COMPUTED_VALUE"""),39.86)</f>
        <v>39.86</v>
      </c>
      <c r="F2946" s="1">
        <f>IFERROR(__xludf.DUMMYFUNCTION("""COMPUTED_VALUE"""),355904.0)</f>
        <v>355904</v>
      </c>
    </row>
    <row r="2947">
      <c r="A2947" s="2">
        <f>IFERROR(__xludf.DUMMYFUNCTION("""COMPUTED_VALUE"""),44456.66666666667)</f>
        <v>44456.66667</v>
      </c>
      <c r="B2947" s="1">
        <f>IFERROR(__xludf.DUMMYFUNCTION("""COMPUTED_VALUE"""),40.03)</f>
        <v>40.03</v>
      </c>
      <c r="C2947" s="1">
        <f>IFERROR(__xludf.DUMMYFUNCTION("""COMPUTED_VALUE"""),40.55)</f>
        <v>40.55</v>
      </c>
      <c r="D2947" s="1">
        <f>IFERROR(__xludf.DUMMYFUNCTION("""COMPUTED_VALUE"""),39.67)</f>
        <v>39.67</v>
      </c>
      <c r="E2947" s="1">
        <f>IFERROR(__xludf.DUMMYFUNCTION("""COMPUTED_VALUE"""),39.78)</f>
        <v>39.78</v>
      </c>
      <c r="F2947" s="1">
        <f>IFERROR(__xludf.DUMMYFUNCTION("""COMPUTED_VALUE"""),1784444.0)</f>
        <v>1784444</v>
      </c>
    </row>
    <row r="2948">
      <c r="A2948" s="2">
        <f>IFERROR(__xludf.DUMMYFUNCTION("""COMPUTED_VALUE"""),44459.66666666667)</f>
        <v>44459.66667</v>
      </c>
      <c r="B2948" s="1">
        <f>IFERROR(__xludf.DUMMYFUNCTION("""COMPUTED_VALUE"""),39.25)</f>
        <v>39.25</v>
      </c>
      <c r="C2948" s="1">
        <f>IFERROR(__xludf.DUMMYFUNCTION("""COMPUTED_VALUE"""),39.3)</f>
        <v>39.3</v>
      </c>
      <c r="D2948" s="1">
        <f>IFERROR(__xludf.DUMMYFUNCTION("""COMPUTED_VALUE"""),37.77)</f>
        <v>37.77</v>
      </c>
      <c r="E2948" s="1">
        <f>IFERROR(__xludf.DUMMYFUNCTION("""COMPUTED_VALUE"""),38.25)</f>
        <v>38.25</v>
      </c>
      <c r="F2948" s="1">
        <f>IFERROR(__xludf.DUMMYFUNCTION("""COMPUTED_VALUE"""),663739.0)</f>
        <v>663739</v>
      </c>
    </row>
    <row r="2949">
      <c r="A2949" s="2">
        <f>IFERROR(__xludf.DUMMYFUNCTION("""COMPUTED_VALUE"""),44460.66666666667)</f>
        <v>44460.66667</v>
      </c>
      <c r="B2949" s="1">
        <f>IFERROR(__xludf.DUMMYFUNCTION("""COMPUTED_VALUE"""),38.57)</f>
        <v>38.57</v>
      </c>
      <c r="C2949" s="1">
        <f>IFERROR(__xludf.DUMMYFUNCTION("""COMPUTED_VALUE"""),38.97)</f>
        <v>38.97</v>
      </c>
      <c r="D2949" s="1">
        <f>IFERROR(__xludf.DUMMYFUNCTION("""COMPUTED_VALUE"""),38.14)</f>
        <v>38.14</v>
      </c>
      <c r="E2949" s="1">
        <f>IFERROR(__xludf.DUMMYFUNCTION("""COMPUTED_VALUE"""),38.26)</f>
        <v>38.26</v>
      </c>
      <c r="F2949" s="1">
        <f>IFERROR(__xludf.DUMMYFUNCTION("""COMPUTED_VALUE"""),321090.0)</f>
        <v>321090</v>
      </c>
    </row>
    <row r="2950">
      <c r="A2950" s="2">
        <f>IFERROR(__xludf.DUMMYFUNCTION("""COMPUTED_VALUE"""),44461.66666666667)</f>
        <v>44461.66667</v>
      </c>
      <c r="B2950" s="1">
        <f>IFERROR(__xludf.DUMMYFUNCTION("""COMPUTED_VALUE"""),38.73)</f>
        <v>38.73</v>
      </c>
      <c r="C2950" s="1">
        <f>IFERROR(__xludf.DUMMYFUNCTION("""COMPUTED_VALUE"""),39.37)</f>
        <v>39.37</v>
      </c>
      <c r="D2950" s="1">
        <f>IFERROR(__xludf.DUMMYFUNCTION("""COMPUTED_VALUE"""),38.65)</f>
        <v>38.65</v>
      </c>
      <c r="E2950" s="1">
        <f>IFERROR(__xludf.DUMMYFUNCTION("""COMPUTED_VALUE"""),38.96)</f>
        <v>38.96</v>
      </c>
      <c r="F2950" s="1">
        <f>IFERROR(__xludf.DUMMYFUNCTION("""COMPUTED_VALUE"""),311884.0)</f>
        <v>311884</v>
      </c>
    </row>
    <row r="2951">
      <c r="A2951" s="2">
        <f>IFERROR(__xludf.DUMMYFUNCTION("""COMPUTED_VALUE"""),44462.66666666667)</f>
        <v>44462.66667</v>
      </c>
      <c r="B2951" s="1">
        <f>IFERROR(__xludf.DUMMYFUNCTION("""COMPUTED_VALUE"""),39.27)</f>
        <v>39.27</v>
      </c>
      <c r="C2951" s="1">
        <f>IFERROR(__xludf.DUMMYFUNCTION("""COMPUTED_VALUE"""),40.54)</f>
        <v>40.54</v>
      </c>
      <c r="D2951" s="1">
        <f>IFERROR(__xludf.DUMMYFUNCTION("""COMPUTED_VALUE"""),39.27)</f>
        <v>39.27</v>
      </c>
      <c r="E2951" s="1">
        <f>IFERROR(__xludf.DUMMYFUNCTION("""COMPUTED_VALUE"""),40.23)</f>
        <v>40.23</v>
      </c>
      <c r="F2951" s="1">
        <f>IFERROR(__xludf.DUMMYFUNCTION("""COMPUTED_VALUE"""),254244.0)</f>
        <v>254244</v>
      </c>
    </row>
    <row r="2952">
      <c r="A2952" s="2">
        <f>IFERROR(__xludf.DUMMYFUNCTION("""COMPUTED_VALUE"""),44463.66666666667)</f>
        <v>44463.66667</v>
      </c>
      <c r="B2952" s="1">
        <f>IFERROR(__xludf.DUMMYFUNCTION("""COMPUTED_VALUE"""),40.07)</f>
        <v>40.07</v>
      </c>
      <c r="C2952" s="1">
        <f>IFERROR(__xludf.DUMMYFUNCTION("""COMPUTED_VALUE"""),41.05)</f>
        <v>41.05</v>
      </c>
      <c r="D2952" s="1">
        <f>IFERROR(__xludf.DUMMYFUNCTION("""COMPUTED_VALUE"""),40.07)</f>
        <v>40.07</v>
      </c>
      <c r="E2952" s="1">
        <f>IFERROR(__xludf.DUMMYFUNCTION("""COMPUTED_VALUE"""),40.94)</f>
        <v>40.94</v>
      </c>
      <c r="F2952" s="1">
        <f>IFERROR(__xludf.DUMMYFUNCTION("""COMPUTED_VALUE"""),353936.0)</f>
        <v>353936</v>
      </c>
    </row>
    <row r="2953">
      <c r="A2953" s="2">
        <f>IFERROR(__xludf.DUMMYFUNCTION("""COMPUTED_VALUE"""),44466.66666666667)</f>
        <v>44466.66667</v>
      </c>
      <c r="B2953" s="1">
        <f>IFERROR(__xludf.DUMMYFUNCTION("""COMPUTED_VALUE"""),41.22)</f>
        <v>41.22</v>
      </c>
      <c r="C2953" s="1">
        <f>IFERROR(__xludf.DUMMYFUNCTION("""COMPUTED_VALUE"""),42.73)</f>
        <v>42.73</v>
      </c>
      <c r="D2953" s="1">
        <f>IFERROR(__xludf.DUMMYFUNCTION("""COMPUTED_VALUE"""),41.22)</f>
        <v>41.22</v>
      </c>
      <c r="E2953" s="1">
        <f>IFERROR(__xludf.DUMMYFUNCTION("""COMPUTED_VALUE"""),42.31)</f>
        <v>42.31</v>
      </c>
      <c r="F2953" s="1">
        <f>IFERROR(__xludf.DUMMYFUNCTION("""COMPUTED_VALUE"""),255722.0)</f>
        <v>255722</v>
      </c>
    </row>
    <row r="2954">
      <c r="A2954" s="2">
        <f>IFERROR(__xludf.DUMMYFUNCTION("""COMPUTED_VALUE"""),44467.66666666667)</f>
        <v>44467.66667</v>
      </c>
      <c r="B2954" s="1">
        <f>IFERROR(__xludf.DUMMYFUNCTION("""COMPUTED_VALUE"""),42.44)</f>
        <v>42.44</v>
      </c>
      <c r="C2954" s="1">
        <f>IFERROR(__xludf.DUMMYFUNCTION("""COMPUTED_VALUE"""),42.65)</f>
        <v>42.65</v>
      </c>
      <c r="D2954" s="1">
        <f>IFERROR(__xludf.DUMMYFUNCTION("""COMPUTED_VALUE"""),41.57)</f>
        <v>41.57</v>
      </c>
      <c r="E2954" s="1">
        <f>IFERROR(__xludf.DUMMYFUNCTION("""COMPUTED_VALUE"""),41.68)</f>
        <v>41.68</v>
      </c>
      <c r="F2954" s="1">
        <f>IFERROR(__xludf.DUMMYFUNCTION("""COMPUTED_VALUE"""),214470.0)</f>
        <v>214470</v>
      </c>
    </row>
    <row r="2955">
      <c r="A2955" s="2">
        <f>IFERROR(__xludf.DUMMYFUNCTION("""COMPUTED_VALUE"""),44468.66666666667)</f>
        <v>44468.66667</v>
      </c>
      <c r="B2955" s="1">
        <f>IFERROR(__xludf.DUMMYFUNCTION("""COMPUTED_VALUE"""),41.65)</f>
        <v>41.65</v>
      </c>
      <c r="C2955" s="1">
        <f>IFERROR(__xludf.DUMMYFUNCTION("""COMPUTED_VALUE"""),42.15)</f>
        <v>42.15</v>
      </c>
      <c r="D2955" s="1">
        <f>IFERROR(__xludf.DUMMYFUNCTION("""COMPUTED_VALUE"""),41.28)</f>
        <v>41.28</v>
      </c>
      <c r="E2955" s="1">
        <f>IFERROR(__xludf.DUMMYFUNCTION("""COMPUTED_VALUE"""),41.98)</f>
        <v>41.98</v>
      </c>
      <c r="F2955" s="1">
        <f>IFERROR(__xludf.DUMMYFUNCTION("""COMPUTED_VALUE"""),204622.0)</f>
        <v>204622</v>
      </c>
    </row>
    <row r="2956">
      <c r="A2956" s="2">
        <f>IFERROR(__xludf.DUMMYFUNCTION("""COMPUTED_VALUE"""),44469.66666666667)</f>
        <v>44469.66667</v>
      </c>
      <c r="B2956" s="1">
        <f>IFERROR(__xludf.DUMMYFUNCTION("""COMPUTED_VALUE"""),42.41)</f>
        <v>42.41</v>
      </c>
      <c r="C2956" s="1">
        <f>IFERROR(__xludf.DUMMYFUNCTION("""COMPUTED_VALUE"""),42.41)</f>
        <v>42.41</v>
      </c>
      <c r="D2956" s="1">
        <f>IFERROR(__xludf.DUMMYFUNCTION("""COMPUTED_VALUE"""),41.37)</f>
        <v>41.37</v>
      </c>
      <c r="E2956" s="1">
        <f>IFERROR(__xludf.DUMMYFUNCTION("""COMPUTED_VALUE"""),41.39)</f>
        <v>41.39</v>
      </c>
      <c r="F2956" s="1">
        <f>IFERROR(__xludf.DUMMYFUNCTION("""COMPUTED_VALUE"""),342106.0)</f>
        <v>342106</v>
      </c>
    </row>
    <row r="2957">
      <c r="A2957" s="2">
        <f>IFERROR(__xludf.DUMMYFUNCTION("""COMPUTED_VALUE"""),44470.66666666667)</f>
        <v>44470.66667</v>
      </c>
      <c r="B2957" s="1">
        <f>IFERROR(__xludf.DUMMYFUNCTION("""COMPUTED_VALUE"""),41.48)</f>
        <v>41.48</v>
      </c>
      <c r="C2957" s="1">
        <f>IFERROR(__xludf.DUMMYFUNCTION("""COMPUTED_VALUE"""),42.71)</f>
        <v>42.71</v>
      </c>
      <c r="D2957" s="1">
        <f>IFERROR(__xludf.DUMMYFUNCTION("""COMPUTED_VALUE"""),41.39)</f>
        <v>41.39</v>
      </c>
      <c r="E2957" s="1">
        <f>IFERROR(__xludf.DUMMYFUNCTION("""COMPUTED_VALUE"""),42.23)</f>
        <v>42.23</v>
      </c>
      <c r="F2957" s="1">
        <f>IFERROR(__xludf.DUMMYFUNCTION("""COMPUTED_VALUE"""),302228.0)</f>
        <v>302228</v>
      </c>
    </row>
    <row r="2958">
      <c r="A2958" s="2">
        <f>IFERROR(__xludf.DUMMYFUNCTION("""COMPUTED_VALUE"""),44473.66666666667)</f>
        <v>44473.66667</v>
      </c>
      <c r="B2958" s="1">
        <f>IFERROR(__xludf.DUMMYFUNCTION("""COMPUTED_VALUE"""),42.28)</f>
        <v>42.28</v>
      </c>
      <c r="C2958" s="1">
        <f>IFERROR(__xludf.DUMMYFUNCTION("""COMPUTED_VALUE"""),42.83)</f>
        <v>42.83</v>
      </c>
      <c r="D2958" s="1">
        <f>IFERROR(__xludf.DUMMYFUNCTION("""COMPUTED_VALUE"""),41.8)</f>
        <v>41.8</v>
      </c>
      <c r="E2958" s="1">
        <f>IFERROR(__xludf.DUMMYFUNCTION("""COMPUTED_VALUE"""),42.03)</f>
        <v>42.03</v>
      </c>
      <c r="F2958" s="1">
        <f>IFERROR(__xludf.DUMMYFUNCTION("""COMPUTED_VALUE"""),231309.0)</f>
        <v>231309</v>
      </c>
    </row>
    <row r="2959">
      <c r="A2959" s="2">
        <f>IFERROR(__xludf.DUMMYFUNCTION("""COMPUTED_VALUE"""),44474.66666666667)</f>
        <v>44474.66667</v>
      </c>
      <c r="B2959" s="1">
        <f>IFERROR(__xludf.DUMMYFUNCTION("""COMPUTED_VALUE"""),42.27)</f>
        <v>42.27</v>
      </c>
      <c r="C2959" s="1">
        <f>IFERROR(__xludf.DUMMYFUNCTION("""COMPUTED_VALUE"""),42.31)</f>
        <v>42.31</v>
      </c>
      <c r="D2959" s="1">
        <f>IFERROR(__xludf.DUMMYFUNCTION("""COMPUTED_VALUE"""),41.78)</f>
        <v>41.78</v>
      </c>
      <c r="E2959" s="1">
        <f>IFERROR(__xludf.DUMMYFUNCTION("""COMPUTED_VALUE"""),42.05)</f>
        <v>42.05</v>
      </c>
      <c r="F2959" s="1">
        <f>IFERROR(__xludf.DUMMYFUNCTION("""COMPUTED_VALUE"""),217685.0)</f>
        <v>217685</v>
      </c>
    </row>
    <row r="2960">
      <c r="A2960" s="2">
        <f>IFERROR(__xludf.DUMMYFUNCTION("""COMPUTED_VALUE"""),44475.66666666667)</f>
        <v>44475.66667</v>
      </c>
      <c r="B2960" s="1">
        <f>IFERROR(__xludf.DUMMYFUNCTION("""COMPUTED_VALUE"""),41.64)</f>
        <v>41.64</v>
      </c>
      <c r="C2960" s="1">
        <f>IFERROR(__xludf.DUMMYFUNCTION("""COMPUTED_VALUE"""),41.96)</f>
        <v>41.96</v>
      </c>
      <c r="D2960" s="1">
        <f>IFERROR(__xludf.DUMMYFUNCTION("""COMPUTED_VALUE"""),40.82)</f>
        <v>40.82</v>
      </c>
      <c r="E2960" s="1">
        <f>IFERROR(__xludf.DUMMYFUNCTION("""COMPUTED_VALUE"""),41.78)</f>
        <v>41.78</v>
      </c>
      <c r="F2960" s="1">
        <f>IFERROR(__xludf.DUMMYFUNCTION("""COMPUTED_VALUE"""),276843.0)</f>
        <v>276843</v>
      </c>
    </row>
    <row r="2961">
      <c r="A2961" s="2">
        <f>IFERROR(__xludf.DUMMYFUNCTION("""COMPUTED_VALUE"""),44476.66666666667)</f>
        <v>44476.66667</v>
      </c>
      <c r="B2961" s="1">
        <f>IFERROR(__xludf.DUMMYFUNCTION("""COMPUTED_VALUE"""),42.14)</f>
        <v>42.14</v>
      </c>
      <c r="C2961" s="1">
        <f>IFERROR(__xludf.DUMMYFUNCTION("""COMPUTED_VALUE"""),42.6)</f>
        <v>42.6</v>
      </c>
      <c r="D2961" s="1">
        <f>IFERROR(__xludf.DUMMYFUNCTION("""COMPUTED_VALUE"""),41.12)</f>
        <v>41.12</v>
      </c>
      <c r="E2961" s="1">
        <f>IFERROR(__xludf.DUMMYFUNCTION("""COMPUTED_VALUE"""),42.51)</f>
        <v>42.51</v>
      </c>
      <c r="F2961" s="1">
        <f>IFERROR(__xludf.DUMMYFUNCTION("""COMPUTED_VALUE"""),222078.0)</f>
        <v>222078</v>
      </c>
    </row>
    <row r="2962">
      <c r="A2962" s="2">
        <f>IFERROR(__xludf.DUMMYFUNCTION("""COMPUTED_VALUE"""),44477.66666666667)</f>
        <v>44477.66667</v>
      </c>
      <c r="B2962" s="1">
        <f>IFERROR(__xludf.DUMMYFUNCTION("""COMPUTED_VALUE"""),42.41)</f>
        <v>42.41</v>
      </c>
      <c r="C2962" s="1">
        <f>IFERROR(__xludf.DUMMYFUNCTION("""COMPUTED_VALUE"""),42.81)</f>
        <v>42.81</v>
      </c>
      <c r="D2962" s="1">
        <f>IFERROR(__xludf.DUMMYFUNCTION("""COMPUTED_VALUE"""),42.22)</f>
        <v>42.22</v>
      </c>
      <c r="E2962" s="1">
        <f>IFERROR(__xludf.DUMMYFUNCTION("""COMPUTED_VALUE"""),42.31)</f>
        <v>42.31</v>
      </c>
      <c r="F2962" s="1">
        <f>IFERROR(__xludf.DUMMYFUNCTION("""COMPUTED_VALUE"""),134441.0)</f>
        <v>134441</v>
      </c>
    </row>
    <row r="2963">
      <c r="A2963" s="2">
        <f>IFERROR(__xludf.DUMMYFUNCTION("""COMPUTED_VALUE"""),44480.66666666667)</f>
        <v>44480.66667</v>
      </c>
      <c r="B2963" s="1">
        <f>IFERROR(__xludf.DUMMYFUNCTION("""COMPUTED_VALUE"""),42.59)</f>
        <v>42.59</v>
      </c>
      <c r="C2963" s="1">
        <f>IFERROR(__xludf.DUMMYFUNCTION("""COMPUTED_VALUE"""),42.67)</f>
        <v>42.67</v>
      </c>
      <c r="D2963" s="1">
        <f>IFERROR(__xludf.DUMMYFUNCTION("""COMPUTED_VALUE"""),41.5)</f>
        <v>41.5</v>
      </c>
      <c r="E2963" s="1">
        <f>IFERROR(__xludf.DUMMYFUNCTION("""COMPUTED_VALUE"""),41.58)</f>
        <v>41.58</v>
      </c>
      <c r="F2963" s="1">
        <f>IFERROR(__xludf.DUMMYFUNCTION("""COMPUTED_VALUE"""),153530.0)</f>
        <v>153530</v>
      </c>
    </row>
    <row r="2964">
      <c r="A2964" s="2">
        <f>IFERROR(__xludf.DUMMYFUNCTION("""COMPUTED_VALUE"""),44481.66666666667)</f>
        <v>44481.66667</v>
      </c>
      <c r="B2964" s="1">
        <f>IFERROR(__xludf.DUMMYFUNCTION("""COMPUTED_VALUE"""),41.53)</f>
        <v>41.53</v>
      </c>
      <c r="C2964" s="1">
        <f>IFERROR(__xludf.DUMMYFUNCTION("""COMPUTED_VALUE"""),41.67)</f>
        <v>41.67</v>
      </c>
      <c r="D2964" s="1">
        <f>IFERROR(__xludf.DUMMYFUNCTION("""COMPUTED_VALUE"""),41.22)</f>
        <v>41.22</v>
      </c>
      <c r="E2964" s="1">
        <f>IFERROR(__xludf.DUMMYFUNCTION("""COMPUTED_VALUE"""),41.37)</f>
        <v>41.37</v>
      </c>
      <c r="F2964" s="1">
        <f>IFERROR(__xludf.DUMMYFUNCTION("""COMPUTED_VALUE"""),163509.0)</f>
        <v>163509</v>
      </c>
    </row>
    <row r="2965">
      <c r="A2965" s="2">
        <f>IFERROR(__xludf.DUMMYFUNCTION("""COMPUTED_VALUE"""),44482.66666666667)</f>
        <v>44482.66667</v>
      </c>
      <c r="B2965" s="1">
        <f>IFERROR(__xludf.DUMMYFUNCTION("""COMPUTED_VALUE"""),41.32)</f>
        <v>41.32</v>
      </c>
      <c r="C2965" s="1">
        <f>IFERROR(__xludf.DUMMYFUNCTION("""COMPUTED_VALUE"""),41.32)</f>
        <v>41.32</v>
      </c>
      <c r="D2965" s="1">
        <f>IFERROR(__xludf.DUMMYFUNCTION("""COMPUTED_VALUE"""),40.44)</f>
        <v>40.44</v>
      </c>
      <c r="E2965" s="1">
        <f>IFERROR(__xludf.DUMMYFUNCTION("""COMPUTED_VALUE"""),41.16)</f>
        <v>41.16</v>
      </c>
      <c r="F2965" s="1">
        <f>IFERROR(__xludf.DUMMYFUNCTION("""COMPUTED_VALUE"""),174173.0)</f>
        <v>174173</v>
      </c>
    </row>
    <row r="2966">
      <c r="A2966" s="2">
        <f>IFERROR(__xludf.DUMMYFUNCTION("""COMPUTED_VALUE"""),44483.66666666667)</f>
        <v>44483.66667</v>
      </c>
      <c r="B2966" s="1">
        <f>IFERROR(__xludf.DUMMYFUNCTION("""COMPUTED_VALUE"""),41.7)</f>
        <v>41.7</v>
      </c>
      <c r="C2966" s="1">
        <f>IFERROR(__xludf.DUMMYFUNCTION("""COMPUTED_VALUE"""),41.83)</f>
        <v>41.83</v>
      </c>
      <c r="D2966" s="1">
        <f>IFERROR(__xludf.DUMMYFUNCTION("""COMPUTED_VALUE"""),41.27)</f>
        <v>41.27</v>
      </c>
      <c r="E2966" s="1">
        <f>IFERROR(__xludf.DUMMYFUNCTION("""COMPUTED_VALUE"""),41.49)</f>
        <v>41.49</v>
      </c>
      <c r="F2966" s="1">
        <f>IFERROR(__xludf.DUMMYFUNCTION("""COMPUTED_VALUE"""),184331.0)</f>
        <v>184331</v>
      </c>
    </row>
    <row r="2967">
      <c r="A2967" s="2">
        <f>IFERROR(__xludf.DUMMYFUNCTION("""COMPUTED_VALUE"""),44484.66666666667)</f>
        <v>44484.66667</v>
      </c>
      <c r="B2967" s="1">
        <f>IFERROR(__xludf.DUMMYFUNCTION("""COMPUTED_VALUE"""),42.02)</f>
        <v>42.02</v>
      </c>
      <c r="C2967" s="1">
        <f>IFERROR(__xludf.DUMMYFUNCTION("""COMPUTED_VALUE"""),42.29)</f>
        <v>42.29</v>
      </c>
      <c r="D2967" s="1">
        <f>IFERROR(__xludf.DUMMYFUNCTION("""COMPUTED_VALUE"""),40.9)</f>
        <v>40.9</v>
      </c>
      <c r="E2967" s="1">
        <f>IFERROR(__xludf.DUMMYFUNCTION("""COMPUTED_VALUE"""),40.97)</f>
        <v>40.97</v>
      </c>
      <c r="F2967" s="1">
        <f>IFERROR(__xludf.DUMMYFUNCTION("""COMPUTED_VALUE"""),374332.0)</f>
        <v>374332</v>
      </c>
    </row>
    <row r="2968">
      <c r="A2968" s="2">
        <f>IFERROR(__xludf.DUMMYFUNCTION("""COMPUTED_VALUE"""),44487.66666666667)</f>
        <v>44487.66667</v>
      </c>
      <c r="B2968" s="1">
        <f>IFERROR(__xludf.DUMMYFUNCTION("""COMPUTED_VALUE"""),41.07)</f>
        <v>41.07</v>
      </c>
      <c r="C2968" s="1">
        <f>IFERROR(__xludf.DUMMYFUNCTION("""COMPUTED_VALUE"""),41.6)</f>
        <v>41.6</v>
      </c>
      <c r="D2968" s="1">
        <f>IFERROR(__xludf.DUMMYFUNCTION("""COMPUTED_VALUE"""),40.96)</f>
        <v>40.96</v>
      </c>
      <c r="E2968" s="1">
        <f>IFERROR(__xludf.DUMMYFUNCTION("""COMPUTED_VALUE"""),41.16)</f>
        <v>41.16</v>
      </c>
      <c r="F2968" s="1">
        <f>IFERROR(__xludf.DUMMYFUNCTION("""COMPUTED_VALUE"""),268337.0)</f>
        <v>268337</v>
      </c>
    </row>
    <row r="2969">
      <c r="A2969" s="2">
        <f>IFERROR(__xludf.DUMMYFUNCTION("""COMPUTED_VALUE"""),44488.66666666667)</f>
        <v>44488.66667</v>
      </c>
      <c r="B2969" s="1">
        <f>IFERROR(__xludf.DUMMYFUNCTION("""COMPUTED_VALUE"""),41.32)</f>
        <v>41.32</v>
      </c>
      <c r="C2969" s="1">
        <f>IFERROR(__xludf.DUMMYFUNCTION("""COMPUTED_VALUE"""),41.51)</f>
        <v>41.51</v>
      </c>
      <c r="D2969" s="1">
        <f>IFERROR(__xludf.DUMMYFUNCTION("""COMPUTED_VALUE"""),40.86)</f>
        <v>40.86</v>
      </c>
      <c r="E2969" s="1">
        <f>IFERROR(__xludf.DUMMYFUNCTION("""COMPUTED_VALUE"""),41.43)</f>
        <v>41.43</v>
      </c>
      <c r="F2969" s="1">
        <f>IFERROR(__xludf.DUMMYFUNCTION("""COMPUTED_VALUE"""),255786.0)</f>
        <v>255786</v>
      </c>
    </row>
    <row r="2970">
      <c r="A2970" s="2">
        <f>IFERROR(__xludf.DUMMYFUNCTION("""COMPUTED_VALUE"""),44489.66666666667)</f>
        <v>44489.66667</v>
      </c>
      <c r="B2970" s="1">
        <f>IFERROR(__xludf.DUMMYFUNCTION("""COMPUTED_VALUE"""),41.34)</f>
        <v>41.34</v>
      </c>
      <c r="C2970" s="1">
        <f>IFERROR(__xludf.DUMMYFUNCTION("""COMPUTED_VALUE"""),42.62)</f>
        <v>42.62</v>
      </c>
      <c r="D2970" s="1">
        <f>IFERROR(__xludf.DUMMYFUNCTION("""COMPUTED_VALUE"""),41.19)</f>
        <v>41.19</v>
      </c>
      <c r="E2970" s="1">
        <f>IFERROR(__xludf.DUMMYFUNCTION("""COMPUTED_VALUE"""),42.62)</f>
        <v>42.62</v>
      </c>
      <c r="F2970" s="1">
        <f>IFERROR(__xludf.DUMMYFUNCTION("""COMPUTED_VALUE"""),221640.0)</f>
        <v>221640</v>
      </c>
    </row>
    <row r="2971">
      <c r="A2971" s="2">
        <f>IFERROR(__xludf.DUMMYFUNCTION("""COMPUTED_VALUE"""),44490.66666666667)</f>
        <v>44490.66667</v>
      </c>
      <c r="B2971" s="1">
        <f>IFERROR(__xludf.DUMMYFUNCTION("""COMPUTED_VALUE"""),42.69)</f>
        <v>42.69</v>
      </c>
      <c r="C2971" s="1">
        <f>IFERROR(__xludf.DUMMYFUNCTION("""COMPUTED_VALUE"""),42.7)</f>
        <v>42.7</v>
      </c>
      <c r="D2971" s="1">
        <f>IFERROR(__xludf.DUMMYFUNCTION("""COMPUTED_VALUE"""),42.22)</f>
        <v>42.22</v>
      </c>
      <c r="E2971" s="1">
        <f>IFERROR(__xludf.DUMMYFUNCTION("""COMPUTED_VALUE"""),42.62)</f>
        <v>42.62</v>
      </c>
      <c r="F2971" s="1">
        <f>IFERROR(__xludf.DUMMYFUNCTION("""COMPUTED_VALUE"""),193355.0)</f>
        <v>193355</v>
      </c>
    </row>
    <row r="2972">
      <c r="A2972" s="2">
        <f>IFERROR(__xludf.DUMMYFUNCTION("""COMPUTED_VALUE"""),44491.66666666667)</f>
        <v>44491.66667</v>
      </c>
      <c r="B2972" s="1">
        <f>IFERROR(__xludf.DUMMYFUNCTION("""COMPUTED_VALUE"""),42.74)</f>
        <v>42.74</v>
      </c>
      <c r="C2972" s="1">
        <f>IFERROR(__xludf.DUMMYFUNCTION("""COMPUTED_VALUE"""),43.04)</f>
        <v>43.04</v>
      </c>
      <c r="D2972" s="1">
        <f>IFERROR(__xludf.DUMMYFUNCTION("""COMPUTED_VALUE"""),42.22)</f>
        <v>42.22</v>
      </c>
      <c r="E2972" s="1">
        <f>IFERROR(__xludf.DUMMYFUNCTION("""COMPUTED_VALUE"""),42.97)</f>
        <v>42.97</v>
      </c>
      <c r="F2972" s="1">
        <f>IFERROR(__xludf.DUMMYFUNCTION("""COMPUTED_VALUE"""),177244.0)</f>
        <v>177244</v>
      </c>
    </row>
    <row r="2973">
      <c r="A2973" s="2">
        <f>IFERROR(__xludf.DUMMYFUNCTION("""COMPUTED_VALUE"""),44494.66666666667)</f>
        <v>44494.66667</v>
      </c>
      <c r="B2973" s="1">
        <f>IFERROR(__xludf.DUMMYFUNCTION("""COMPUTED_VALUE"""),43.0)</f>
        <v>43</v>
      </c>
      <c r="C2973" s="1">
        <f>IFERROR(__xludf.DUMMYFUNCTION("""COMPUTED_VALUE"""),43.96)</f>
        <v>43.96</v>
      </c>
      <c r="D2973" s="1">
        <f>IFERROR(__xludf.DUMMYFUNCTION("""COMPUTED_VALUE"""),42.88)</f>
        <v>42.88</v>
      </c>
      <c r="E2973" s="1">
        <f>IFERROR(__xludf.DUMMYFUNCTION("""COMPUTED_VALUE"""),43.95)</f>
        <v>43.95</v>
      </c>
      <c r="F2973" s="1">
        <f>IFERROR(__xludf.DUMMYFUNCTION("""COMPUTED_VALUE"""),304332.0)</f>
        <v>304332</v>
      </c>
    </row>
    <row r="2974">
      <c r="A2974" s="2">
        <f>IFERROR(__xludf.DUMMYFUNCTION("""COMPUTED_VALUE"""),44495.66666666667)</f>
        <v>44495.66667</v>
      </c>
      <c r="B2974" s="1">
        <f>IFERROR(__xludf.DUMMYFUNCTION("""COMPUTED_VALUE"""),42.58)</f>
        <v>42.58</v>
      </c>
      <c r="C2974" s="1">
        <f>IFERROR(__xludf.DUMMYFUNCTION("""COMPUTED_VALUE"""),42.95)</f>
        <v>42.95</v>
      </c>
      <c r="D2974" s="1">
        <f>IFERROR(__xludf.DUMMYFUNCTION("""COMPUTED_VALUE"""),41.9)</f>
        <v>41.9</v>
      </c>
      <c r="E2974" s="1">
        <f>IFERROR(__xludf.DUMMYFUNCTION("""COMPUTED_VALUE"""),42.65)</f>
        <v>42.65</v>
      </c>
      <c r="F2974" s="1">
        <f>IFERROR(__xludf.DUMMYFUNCTION("""COMPUTED_VALUE"""),471510.0)</f>
        <v>471510</v>
      </c>
    </row>
    <row r="2975">
      <c r="A2975" s="2">
        <f>IFERROR(__xludf.DUMMYFUNCTION("""COMPUTED_VALUE"""),44496.66666666667)</f>
        <v>44496.66667</v>
      </c>
      <c r="B2975" s="1">
        <f>IFERROR(__xludf.DUMMYFUNCTION("""COMPUTED_VALUE"""),42.46)</f>
        <v>42.46</v>
      </c>
      <c r="C2975" s="1">
        <f>IFERROR(__xludf.DUMMYFUNCTION("""COMPUTED_VALUE"""),42.46)</f>
        <v>42.46</v>
      </c>
      <c r="D2975" s="1">
        <f>IFERROR(__xludf.DUMMYFUNCTION("""COMPUTED_VALUE"""),41.25)</f>
        <v>41.25</v>
      </c>
      <c r="E2975" s="1">
        <f>IFERROR(__xludf.DUMMYFUNCTION("""COMPUTED_VALUE"""),41.26)</f>
        <v>41.26</v>
      </c>
      <c r="F2975" s="1">
        <f>IFERROR(__xludf.DUMMYFUNCTION("""COMPUTED_VALUE"""),276139.0)</f>
        <v>276139</v>
      </c>
    </row>
    <row r="2976">
      <c r="A2976" s="2">
        <f>IFERROR(__xludf.DUMMYFUNCTION("""COMPUTED_VALUE"""),44497.66666666667)</f>
        <v>44497.66667</v>
      </c>
      <c r="B2976" s="1">
        <f>IFERROR(__xludf.DUMMYFUNCTION("""COMPUTED_VALUE"""),41.54)</f>
        <v>41.54</v>
      </c>
      <c r="C2976" s="1">
        <f>IFERROR(__xludf.DUMMYFUNCTION("""COMPUTED_VALUE"""),42.68)</f>
        <v>42.68</v>
      </c>
      <c r="D2976" s="1">
        <f>IFERROR(__xludf.DUMMYFUNCTION("""COMPUTED_VALUE"""),40.94)</f>
        <v>40.94</v>
      </c>
      <c r="E2976" s="1">
        <f>IFERROR(__xludf.DUMMYFUNCTION("""COMPUTED_VALUE"""),42.63)</f>
        <v>42.63</v>
      </c>
      <c r="F2976" s="1">
        <f>IFERROR(__xludf.DUMMYFUNCTION("""COMPUTED_VALUE"""),342047.0)</f>
        <v>342047</v>
      </c>
    </row>
    <row r="2977">
      <c r="A2977" s="2">
        <f>IFERROR(__xludf.DUMMYFUNCTION("""COMPUTED_VALUE"""),44498.66666666667)</f>
        <v>44498.66667</v>
      </c>
      <c r="B2977" s="1">
        <f>IFERROR(__xludf.DUMMYFUNCTION("""COMPUTED_VALUE"""),42.57)</f>
        <v>42.57</v>
      </c>
      <c r="C2977" s="1">
        <f>IFERROR(__xludf.DUMMYFUNCTION("""COMPUTED_VALUE"""),42.93)</f>
        <v>42.93</v>
      </c>
      <c r="D2977" s="1">
        <f>IFERROR(__xludf.DUMMYFUNCTION("""COMPUTED_VALUE"""),42.08)</f>
        <v>42.08</v>
      </c>
      <c r="E2977" s="1">
        <f>IFERROR(__xludf.DUMMYFUNCTION("""COMPUTED_VALUE"""),42.19)</f>
        <v>42.19</v>
      </c>
      <c r="F2977" s="1">
        <f>IFERROR(__xludf.DUMMYFUNCTION("""COMPUTED_VALUE"""),414793.0)</f>
        <v>414793</v>
      </c>
    </row>
    <row r="2978">
      <c r="A2978" s="2">
        <f>IFERROR(__xludf.DUMMYFUNCTION("""COMPUTED_VALUE"""),44501.66666666667)</f>
        <v>44501.66667</v>
      </c>
      <c r="B2978" s="1">
        <f>IFERROR(__xludf.DUMMYFUNCTION("""COMPUTED_VALUE"""),42.54)</f>
        <v>42.54</v>
      </c>
      <c r="C2978" s="1">
        <f>IFERROR(__xludf.DUMMYFUNCTION("""COMPUTED_VALUE"""),43.65)</f>
        <v>43.65</v>
      </c>
      <c r="D2978" s="1">
        <f>IFERROR(__xludf.DUMMYFUNCTION("""COMPUTED_VALUE"""),42.54)</f>
        <v>42.54</v>
      </c>
      <c r="E2978" s="1">
        <f>IFERROR(__xludf.DUMMYFUNCTION("""COMPUTED_VALUE"""),43.59)</f>
        <v>43.59</v>
      </c>
      <c r="F2978" s="1">
        <f>IFERROR(__xludf.DUMMYFUNCTION("""COMPUTED_VALUE"""),303436.0)</f>
        <v>303436</v>
      </c>
    </row>
    <row r="2979">
      <c r="A2979" s="2">
        <f>IFERROR(__xludf.DUMMYFUNCTION("""COMPUTED_VALUE"""),44502.66666666667)</f>
        <v>44502.66667</v>
      </c>
      <c r="B2979" s="1">
        <f>IFERROR(__xludf.DUMMYFUNCTION("""COMPUTED_VALUE"""),43.63)</f>
        <v>43.63</v>
      </c>
      <c r="C2979" s="1">
        <f>IFERROR(__xludf.DUMMYFUNCTION("""COMPUTED_VALUE"""),43.84)</f>
        <v>43.84</v>
      </c>
      <c r="D2979" s="1">
        <f>IFERROR(__xludf.DUMMYFUNCTION("""COMPUTED_VALUE"""),42.9)</f>
        <v>42.9</v>
      </c>
      <c r="E2979" s="1">
        <f>IFERROR(__xludf.DUMMYFUNCTION("""COMPUTED_VALUE"""),42.99)</f>
        <v>42.99</v>
      </c>
      <c r="F2979" s="1">
        <f>IFERROR(__xludf.DUMMYFUNCTION("""COMPUTED_VALUE"""),222478.0)</f>
        <v>222478</v>
      </c>
    </row>
    <row r="2980">
      <c r="A2980" s="2">
        <f>IFERROR(__xludf.DUMMYFUNCTION("""COMPUTED_VALUE"""),44503.66666666667)</f>
        <v>44503.66667</v>
      </c>
      <c r="B2980" s="1">
        <f>IFERROR(__xludf.DUMMYFUNCTION("""COMPUTED_VALUE"""),42.74)</f>
        <v>42.74</v>
      </c>
      <c r="C2980" s="1">
        <f>IFERROR(__xludf.DUMMYFUNCTION("""COMPUTED_VALUE"""),44.48)</f>
        <v>44.48</v>
      </c>
      <c r="D2980" s="1">
        <f>IFERROR(__xludf.DUMMYFUNCTION("""COMPUTED_VALUE"""),42.66)</f>
        <v>42.66</v>
      </c>
      <c r="E2980" s="1">
        <f>IFERROR(__xludf.DUMMYFUNCTION("""COMPUTED_VALUE"""),44.2)</f>
        <v>44.2</v>
      </c>
      <c r="F2980" s="1">
        <f>IFERROR(__xludf.DUMMYFUNCTION("""COMPUTED_VALUE"""),266166.0)</f>
        <v>266166</v>
      </c>
    </row>
    <row r="2981">
      <c r="A2981" s="2">
        <f>IFERROR(__xludf.DUMMYFUNCTION("""COMPUTED_VALUE"""),44504.66666666667)</f>
        <v>44504.66667</v>
      </c>
      <c r="B2981" s="1">
        <f>IFERROR(__xludf.DUMMYFUNCTION("""COMPUTED_VALUE"""),44.19)</f>
        <v>44.19</v>
      </c>
      <c r="C2981" s="1">
        <f>IFERROR(__xludf.DUMMYFUNCTION("""COMPUTED_VALUE"""),44.19)</f>
        <v>44.19</v>
      </c>
      <c r="D2981" s="1">
        <f>IFERROR(__xludf.DUMMYFUNCTION("""COMPUTED_VALUE"""),43.19)</f>
        <v>43.19</v>
      </c>
      <c r="E2981" s="1">
        <f>IFERROR(__xludf.DUMMYFUNCTION("""COMPUTED_VALUE"""),43.9)</f>
        <v>43.9</v>
      </c>
      <c r="F2981" s="1">
        <f>IFERROR(__xludf.DUMMYFUNCTION("""COMPUTED_VALUE"""),260740.0)</f>
        <v>260740</v>
      </c>
    </row>
    <row r="2982">
      <c r="A2982" s="2">
        <f>IFERROR(__xludf.DUMMYFUNCTION("""COMPUTED_VALUE"""),44505.66666666667)</f>
        <v>44505.66667</v>
      </c>
      <c r="B2982" s="1">
        <f>IFERROR(__xludf.DUMMYFUNCTION("""COMPUTED_VALUE"""),44.32)</f>
        <v>44.32</v>
      </c>
      <c r="C2982" s="1">
        <f>IFERROR(__xludf.DUMMYFUNCTION("""COMPUTED_VALUE"""),45.14)</f>
        <v>45.14</v>
      </c>
      <c r="D2982" s="1">
        <f>IFERROR(__xludf.DUMMYFUNCTION("""COMPUTED_VALUE"""),44.32)</f>
        <v>44.32</v>
      </c>
      <c r="E2982" s="1">
        <f>IFERROR(__xludf.DUMMYFUNCTION("""COMPUTED_VALUE"""),44.87)</f>
        <v>44.87</v>
      </c>
      <c r="F2982" s="1">
        <f>IFERROR(__xludf.DUMMYFUNCTION("""COMPUTED_VALUE"""),314134.0)</f>
        <v>314134</v>
      </c>
    </row>
    <row r="2983">
      <c r="A2983" s="2">
        <f>IFERROR(__xludf.DUMMYFUNCTION("""COMPUTED_VALUE"""),44508.66666666667)</f>
        <v>44508.66667</v>
      </c>
      <c r="B2983" s="1">
        <f>IFERROR(__xludf.DUMMYFUNCTION("""COMPUTED_VALUE"""),45.19)</f>
        <v>45.19</v>
      </c>
      <c r="C2983" s="1">
        <f>IFERROR(__xludf.DUMMYFUNCTION("""COMPUTED_VALUE"""),45.48)</f>
        <v>45.48</v>
      </c>
      <c r="D2983" s="1">
        <f>IFERROR(__xludf.DUMMYFUNCTION("""COMPUTED_VALUE"""),44.42)</f>
        <v>44.42</v>
      </c>
      <c r="E2983" s="1">
        <f>IFERROR(__xludf.DUMMYFUNCTION("""COMPUTED_VALUE"""),44.63)</f>
        <v>44.63</v>
      </c>
      <c r="F2983" s="1">
        <f>IFERROR(__xludf.DUMMYFUNCTION("""COMPUTED_VALUE"""),205538.0)</f>
        <v>205538</v>
      </c>
    </row>
    <row r="2984">
      <c r="A2984" s="2">
        <f>IFERROR(__xludf.DUMMYFUNCTION("""COMPUTED_VALUE"""),44509.66666666667)</f>
        <v>44509.66667</v>
      </c>
      <c r="B2984" s="1">
        <f>IFERROR(__xludf.DUMMYFUNCTION("""COMPUTED_VALUE"""),44.36)</f>
        <v>44.36</v>
      </c>
      <c r="C2984" s="1">
        <f>IFERROR(__xludf.DUMMYFUNCTION("""COMPUTED_VALUE"""),44.97)</f>
        <v>44.97</v>
      </c>
      <c r="D2984" s="1">
        <f>IFERROR(__xludf.DUMMYFUNCTION("""COMPUTED_VALUE"""),44.02)</f>
        <v>44.02</v>
      </c>
      <c r="E2984" s="1">
        <f>IFERROR(__xludf.DUMMYFUNCTION("""COMPUTED_VALUE"""),44.77)</f>
        <v>44.77</v>
      </c>
      <c r="F2984" s="1">
        <f>IFERROR(__xludf.DUMMYFUNCTION("""COMPUTED_VALUE"""),173848.0)</f>
        <v>173848</v>
      </c>
    </row>
    <row r="2985">
      <c r="A2985" s="2">
        <f>IFERROR(__xludf.DUMMYFUNCTION("""COMPUTED_VALUE"""),44510.66666666667)</f>
        <v>44510.66667</v>
      </c>
      <c r="B2985" s="1">
        <f>IFERROR(__xludf.DUMMYFUNCTION("""COMPUTED_VALUE"""),44.69)</f>
        <v>44.69</v>
      </c>
      <c r="C2985" s="1">
        <f>IFERROR(__xludf.DUMMYFUNCTION("""COMPUTED_VALUE"""),45.25)</f>
        <v>45.25</v>
      </c>
      <c r="D2985" s="1">
        <f>IFERROR(__xludf.DUMMYFUNCTION("""COMPUTED_VALUE"""),44.51)</f>
        <v>44.51</v>
      </c>
      <c r="E2985" s="1">
        <f>IFERROR(__xludf.DUMMYFUNCTION("""COMPUTED_VALUE"""),44.89)</f>
        <v>44.89</v>
      </c>
      <c r="F2985" s="1">
        <f>IFERROR(__xludf.DUMMYFUNCTION("""COMPUTED_VALUE"""),214122.0)</f>
        <v>214122</v>
      </c>
    </row>
    <row r="2986">
      <c r="A2986" s="2">
        <f>IFERROR(__xludf.DUMMYFUNCTION("""COMPUTED_VALUE"""),44511.66666666667)</f>
        <v>44511.66667</v>
      </c>
      <c r="B2986" s="1">
        <f>IFERROR(__xludf.DUMMYFUNCTION("""COMPUTED_VALUE"""),45.14)</f>
        <v>45.14</v>
      </c>
      <c r="C2986" s="1">
        <f>IFERROR(__xludf.DUMMYFUNCTION("""COMPUTED_VALUE"""),45.2)</f>
        <v>45.2</v>
      </c>
      <c r="D2986" s="1">
        <f>IFERROR(__xludf.DUMMYFUNCTION("""COMPUTED_VALUE"""),44.76)</f>
        <v>44.76</v>
      </c>
      <c r="E2986" s="1">
        <f>IFERROR(__xludf.DUMMYFUNCTION("""COMPUTED_VALUE"""),44.83)</f>
        <v>44.83</v>
      </c>
      <c r="F2986" s="1">
        <f>IFERROR(__xludf.DUMMYFUNCTION("""COMPUTED_VALUE"""),160538.0)</f>
        <v>160538</v>
      </c>
    </row>
    <row r="2987">
      <c r="A2987" s="2">
        <f>IFERROR(__xludf.DUMMYFUNCTION("""COMPUTED_VALUE"""),44512.66666666667)</f>
        <v>44512.66667</v>
      </c>
      <c r="B2987" s="1">
        <f>IFERROR(__xludf.DUMMYFUNCTION("""COMPUTED_VALUE"""),44.81)</f>
        <v>44.81</v>
      </c>
      <c r="C2987" s="1">
        <f>IFERROR(__xludf.DUMMYFUNCTION("""COMPUTED_VALUE"""),44.96)</f>
        <v>44.96</v>
      </c>
      <c r="D2987" s="1">
        <f>IFERROR(__xludf.DUMMYFUNCTION("""COMPUTED_VALUE"""),44.21)</f>
        <v>44.21</v>
      </c>
      <c r="E2987" s="1">
        <f>IFERROR(__xludf.DUMMYFUNCTION("""COMPUTED_VALUE"""),44.49)</f>
        <v>44.49</v>
      </c>
      <c r="F2987" s="1">
        <f>IFERROR(__xludf.DUMMYFUNCTION("""COMPUTED_VALUE"""),193506.0)</f>
        <v>193506</v>
      </c>
    </row>
    <row r="2988">
      <c r="A2988" s="2">
        <f>IFERROR(__xludf.DUMMYFUNCTION("""COMPUTED_VALUE"""),44515.66666666667)</f>
        <v>44515.66667</v>
      </c>
      <c r="B2988" s="1">
        <f>IFERROR(__xludf.DUMMYFUNCTION("""COMPUTED_VALUE"""),44.7)</f>
        <v>44.7</v>
      </c>
      <c r="C2988" s="1">
        <f>IFERROR(__xludf.DUMMYFUNCTION("""COMPUTED_VALUE"""),45.03)</f>
        <v>45.03</v>
      </c>
      <c r="D2988" s="1">
        <f>IFERROR(__xludf.DUMMYFUNCTION("""COMPUTED_VALUE"""),44.57)</f>
        <v>44.57</v>
      </c>
      <c r="E2988" s="1">
        <f>IFERROR(__xludf.DUMMYFUNCTION("""COMPUTED_VALUE"""),44.87)</f>
        <v>44.87</v>
      </c>
      <c r="F2988" s="1">
        <f>IFERROR(__xludf.DUMMYFUNCTION("""COMPUTED_VALUE"""),200470.0)</f>
        <v>200470</v>
      </c>
    </row>
    <row r="2989">
      <c r="A2989" s="2">
        <f>IFERROR(__xludf.DUMMYFUNCTION("""COMPUTED_VALUE"""),44516.66666666667)</f>
        <v>44516.66667</v>
      </c>
      <c r="B2989" s="1">
        <f>IFERROR(__xludf.DUMMYFUNCTION("""COMPUTED_VALUE"""),44.7)</f>
        <v>44.7</v>
      </c>
      <c r="C2989" s="1">
        <f>IFERROR(__xludf.DUMMYFUNCTION("""COMPUTED_VALUE"""),45.34)</f>
        <v>45.34</v>
      </c>
      <c r="D2989" s="1">
        <f>IFERROR(__xludf.DUMMYFUNCTION("""COMPUTED_VALUE"""),44.6)</f>
        <v>44.6</v>
      </c>
      <c r="E2989" s="1">
        <f>IFERROR(__xludf.DUMMYFUNCTION("""COMPUTED_VALUE"""),44.91)</f>
        <v>44.91</v>
      </c>
      <c r="F2989" s="1">
        <f>IFERROR(__xludf.DUMMYFUNCTION("""COMPUTED_VALUE"""),257057.0)</f>
        <v>257057</v>
      </c>
    </row>
    <row r="2990">
      <c r="A2990" s="2">
        <f>IFERROR(__xludf.DUMMYFUNCTION("""COMPUTED_VALUE"""),44517.66666666667)</f>
        <v>44517.66667</v>
      </c>
      <c r="B2990" s="1">
        <f>IFERROR(__xludf.DUMMYFUNCTION("""COMPUTED_VALUE"""),44.68)</f>
        <v>44.68</v>
      </c>
      <c r="C2990" s="1">
        <f>IFERROR(__xludf.DUMMYFUNCTION("""COMPUTED_VALUE"""),44.75)</f>
        <v>44.75</v>
      </c>
      <c r="D2990" s="1">
        <f>IFERROR(__xludf.DUMMYFUNCTION("""COMPUTED_VALUE"""),44.03)</f>
        <v>44.03</v>
      </c>
      <c r="E2990" s="1">
        <f>IFERROR(__xludf.DUMMYFUNCTION("""COMPUTED_VALUE"""),44.3)</f>
        <v>44.3</v>
      </c>
      <c r="F2990" s="1">
        <f>IFERROR(__xludf.DUMMYFUNCTION("""COMPUTED_VALUE"""),329223.0)</f>
        <v>329223</v>
      </c>
    </row>
    <row r="2991">
      <c r="A2991" s="2">
        <f>IFERROR(__xludf.DUMMYFUNCTION("""COMPUTED_VALUE"""),44518.66666666667)</f>
        <v>44518.66667</v>
      </c>
      <c r="B2991" s="1">
        <f>IFERROR(__xludf.DUMMYFUNCTION("""COMPUTED_VALUE"""),44.28)</f>
        <v>44.28</v>
      </c>
      <c r="C2991" s="1">
        <f>IFERROR(__xludf.DUMMYFUNCTION("""COMPUTED_VALUE"""),45.0)</f>
        <v>45</v>
      </c>
      <c r="D2991" s="1">
        <f>IFERROR(__xludf.DUMMYFUNCTION("""COMPUTED_VALUE"""),44.22)</f>
        <v>44.22</v>
      </c>
      <c r="E2991" s="1">
        <f>IFERROR(__xludf.DUMMYFUNCTION("""COMPUTED_VALUE"""),44.78)</f>
        <v>44.78</v>
      </c>
      <c r="F2991" s="1">
        <f>IFERROR(__xludf.DUMMYFUNCTION("""COMPUTED_VALUE"""),401354.0)</f>
        <v>401354</v>
      </c>
    </row>
    <row r="2992">
      <c r="A2992" s="2">
        <f>IFERROR(__xludf.DUMMYFUNCTION("""COMPUTED_VALUE"""),44519.66666666667)</f>
        <v>44519.66667</v>
      </c>
      <c r="B2992" s="1">
        <f>IFERROR(__xludf.DUMMYFUNCTION("""COMPUTED_VALUE"""),44.39)</f>
        <v>44.39</v>
      </c>
      <c r="C2992" s="1">
        <f>IFERROR(__xludf.DUMMYFUNCTION("""COMPUTED_VALUE"""),44.82)</f>
        <v>44.82</v>
      </c>
      <c r="D2992" s="1">
        <f>IFERROR(__xludf.DUMMYFUNCTION("""COMPUTED_VALUE"""),43.89)</f>
        <v>43.89</v>
      </c>
      <c r="E2992" s="1">
        <f>IFERROR(__xludf.DUMMYFUNCTION("""COMPUTED_VALUE"""),44.4)</f>
        <v>44.4</v>
      </c>
      <c r="F2992" s="1">
        <f>IFERROR(__xludf.DUMMYFUNCTION("""COMPUTED_VALUE"""),322654.0)</f>
        <v>322654</v>
      </c>
    </row>
    <row r="2993">
      <c r="A2993" s="2">
        <f>IFERROR(__xludf.DUMMYFUNCTION("""COMPUTED_VALUE"""),44522.66666666667)</f>
        <v>44522.66667</v>
      </c>
      <c r="B2993" s="1">
        <f>IFERROR(__xludf.DUMMYFUNCTION("""COMPUTED_VALUE"""),44.83)</f>
        <v>44.83</v>
      </c>
      <c r="C2993" s="1">
        <f>IFERROR(__xludf.DUMMYFUNCTION("""COMPUTED_VALUE"""),46.26)</f>
        <v>46.26</v>
      </c>
      <c r="D2993" s="1">
        <f>IFERROR(__xludf.DUMMYFUNCTION("""COMPUTED_VALUE"""),44.83)</f>
        <v>44.83</v>
      </c>
      <c r="E2993" s="1">
        <f>IFERROR(__xludf.DUMMYFUNCTION("""COMPUTED_VALUE"""),45.16)</f>
        <v>45.16</v>
      </c>
      <c r="F2993" s="1">
        <f>IFERROR(__xludf.DUMMYFUNCTION("""COMPUTED_VALUE"""),364781.0)</f>
        <v>364781</v>
      </c>
    </row>
    <row r="2994">
      <c r="A2994" s="2">
        <f>IFERROR(__xludf.DUMMYFUNCTION("""COMPUTED_VALUE"""),44523.66666666667)</f>
        <v>44523.66667</v>
      </c>
      <c r="B2994" s="1">
        <f>IFERROR(__xludf.DUMMYFUNCTION("""COMPUTED_VALUE"""),45.71)</f>
        <v>45.71</v>
      </c>
      <c r="C2994" s="1">
        <f>IFERROR(__xludf.DUMMYFUNCTION("""COMPUTED_VALUE"""),46.43)</f>
        <v>46.43</v>
      </c>
      <c r="D2994" s="1">
        <f>IFERROR(__xludf.DUMMYFUNCTION("""COMPUTED_VALUE"""),45.54)</f>
        <v>45.54</v>
      </c>
      <c r="E2994" s="1">
        <f>IFERROR(__xludf.DUMMYFUNCTION("""COMPUTED_VALUE"""),46.22)</f>
        <v>46.22</v>
      </c>
      <c r="F2994" s="1">
        <f>IFERROR(__xludf.DUMMYFUNCTION("""COMPUTED_VALUE"""),299485.0)</f>
        <v>299485</v>
      </c>
    </row>
    <row r="2995">
      <c r="A2995" s="2">
        <f>IFERROR(__xludf.DUMMYFUNCTION("""COMPUTED_VALUE"""),44524.66666666667)</f>
        <v>44524.66667</v>
      </c>
      <c r="B2995" s="1">
        <f>IFERROR(__xludf.DUMMYFUNCTION("""COMPUTED_VALUE"""),45.94)</f>
        <v>45.94</v>
      </c>
      <c r="C2995" s="1">
        <f>IFERROR(__xludf.DUMMYFUNCTION("""COMPUTED_VALUE"""),46.33)</f>
        <v>46.33</v>
      </c>
      <c r="D2995" s="1">
        <f>IFERROR(__xludf.DUMMYFUNCTION("""COMPUTED_VALUE"""),45.53)</f>
        <v>45.53</v>
      </c>
      <c r="E2995" s="1">
        <f>IFERROR(__xludf.DUMMYFUNCTION("""COMPUTED_VALUE"""),45.74)</f>
        <v>45.74</v>
      </c>
      <c r="F2995" s="1">
        <f>IFERROR(__xludf.DUMMYFUNCTION("""COMPUTED_VALUE"""),194322.0)</f>
        <v>194322</v>
      </c>
    </row>
    <row r="2996">
      <c r="A2996" s="2">
        <f>IFERROR(__xludf.DUMMYFUNCTION("""COMPUTED_VALUE"""),44526.54166666667)</f>
        <v>44526.54167</v>
      </c>
      <c r="B2996" s="1">
        <f>IFERROR(__xludf.DUMMYFUNCTION("""COMPUTED_VALUE"""),44.66)</f>
        <v>44.66</v>
      </c>
      <c r="C2996" s="1">
        <f>IFERROR(__xludf.DUMMYFUNCTION("""COMPUTED_VALUE"""),44.66)</f>
        <v>44.66</v>
      </c>
      <c r="D2996" s="1">
        <f>IFERROR(__xludf.DUMMYFUNCTION("""COMPUTED_VALUE"""),42.31)</f>
        <v>42.31</v>
      </c>
      <c r="E2996" s="1">
        <f>IFERROR(__xludf.DUMMYFUNCTION("""COMPUTED_VALUE"""),43.0)</f>
        <v>43</v>
      </c>
      <c r="F2996" s="1">
        <f>IFERROR(__xludf.DUMMYFUNCTION("""COMPUTED_VALUE"""),327886.0)</f>
        <v>327886</v>
      </c>
    </row>
    <row r="2997">
      <c r="A2997" s="2">
        <f>IFERROR(__xludf.DUMMYFUNCTION("""COMPUTED_VALUE"""),44529.66666666667)</f>
        <v>44529.66667</v>
      </c>
      <c r="B2997" s="1">
        <f>IFERROR(__xludf.DUMMYFUNCTION("""COMPUTED_VALUE"""),43.7)</f>
        <v>43.7</v>
      </c>
      <c r="C2997" s="1">
        <f>IFERROR(__xludf.DUMMYFUNCTION("""COMPUTED_VALUE"""),43.7)</f>
        <v>43.7</v>
      </c>
      <c r="D2997" s="1">
        <f>IFERROR(__xludf.DUMMYFUNCTION("""COMPUTED_VALUE"""),42.75)</f>
        <v>42.75</v>
      </c>
      <c r="E2997" s="1">
        <f>IFERROR(__xludf.DUMMYFUNCTION("""COMPUTED_VALUE"""),42.96)</f>
        <v>42.96</v>
      </c>
      <c r="F2997" s="1">
        <f>IFERROR(__xludf.DUMMYFUNCTION("""COMPUTED_VALUE"""),263822.0)</f>
        <v>263822</v>
      </c>
    </row>
    <row r="2998">
      <c r="A2998" s="2">
        <f>IFERROR(__xludf.DUMMYFUNCTION("""COMPUTED_VALUE"""),44530.66666666667)</f>
        <v>44530.66667</v>
      </c>
      <c r="B2998" s="1">
        <f>IFERROR(__xludf.DUMMYFUNCTION("""COMPUTED_VALUE"""),42.19)</f>
        <v>42.19</v>
      </c>
      <c r="C2998" s="1">
        <f>IFERROR(__xludf.DUMMYFUNCTION("""COMPUTED_VALUE"""),42.56)</f>
        <v>42.56</v>
      </c>
      <c r="D2998" s="1">
        <f>IFERROR(__xludf.DUMMYFUNCTION("""COMPUTED_VALUE"""),41.66)</f>
        <v>41.66</v>
      </c>
      <c r="E2998" s="1">
        <f>IFERROR(__xludf.DUMMYFUNCTION("""COMPUTED_VALUE"""),41.91)</f>
        <v>41.91</v>
      </c>
      <c r="F2998" s="1">
        <f>IFERROR(__xludf.DUMMYFUNCTION("""COMPUTED_VALUE"""),665826.0)</f>
        <v>665826</v>
      </c>
    </row>
    <row r="2999">
      <c r="A2999" s="2">
        <f>IFERROR(__xludf.DUMMYFUNCTION("""COMPUTED_VALUE"""),44531.66666666667)</f>
        <v>44531.66667</v>
      </c>
      <c r="B2999" s="1">
        <f>IFERROR(__xludf.DUMMYFUNCTION("""COMPUTED_VALUE"""),42.99)</f>
        <v>42.99</v>
      </c>
      <c r="C2999" s="1">
        <f>IFERROR(__xludf.DUMMYFUNCTION("""COMPUTED_VALUE"""),43.59)</f>
        <v>43.59</v>
      </c>
      <c r="D2999" s="1">
        <f>IFERROR(__xludf.DUMMYFUNCTION("""COMPUTED_VALUE"""),41.56)</f>
        <v>41.56</v>
      </c>
      <c r="E2999" s="1">
        <f>IFERROR(__xludf.DUMMYFUNCTION("""COMPUTED_VALUE"""),41.56)</f>
        <v>41.56</v>
      </c>
      <c r="F2999" s="1">
        <f>IFERROR(__xludf.DUMMYFUNCTION("""COMPUTED_VALUE"""),484642.0)</f>
        <v>484642</v>
      </c>
    </row>
    <row r="3000">
      <c r="A3000" s="2">
        <f>IFERROR(__xludf.DUMMYFUNCTION("""COMPUTED_VALUE"""),44532.66666666667)</f>
        <v>44532.66667</v>
      </c>
      <c r="B3000" s="1">
        <f>IFERROR(__xludf.DUMMYFUNCTION("""COMPUTED_VALUE"""),41.4)</f>
        <v>41.4</v>
      </c>
      <c r="C3000" s="1">
        <f>IFERROR(__xludf.DUMMYFUNCTION("""COMPUTED_VALUE"""),43.75)</f>
        <v>43.75</v>
      </c>
      <c r="D3000" s="1">
        <f>IFERROR(__xludf.DUMMYFUNCTION("""COMPUTED_VALUE"""),41.4)</f>
        <v>41.4</v>
      </c>
      <c r="E3000" s="1">
        <f>IFERROR(__xludf.DUMMYFUNCTION("""COMPUTED_VALUE"""),43.27)</f>
        <v>43.27</v>
      </c>
      <c r="F3000" s="1">
        <f>IFERROR(__xludf.DUMMYFUNCTION("""COMPUTED_VALUE"""),425567.0)</f>
        <v>425567</v>
      </c>
    </row>
    <row r="3001">
      <c r="A3001" s="2">
        <f>IFERROR(__xludf.DUMMYFUNCTION("""COMPUTED_VALUE"""),44533.66666666667)</f>
        <v>44533.66667</v>
      </c>
      <c r="B3001" s="1">
        <f>IFERROR(__xludf.DUMMYFUNCTION("""COMPUTED_VALUE"""),43.42)</f>
        <v>43.42</v>
      </c>
      <c r="C3001" s="1">
        <f>IFERROR(__xludf.DUMMYFUNCTION("""COMPUTED_VALUE"""),43.66)</f>
        <v>43.66</v>
      </c>
      <c r="D3001" s="1">
        <f>IFERROR(__xludf.DUMMYFUNCTION("""COMPUTED_VALUE"""),42.39)</f>
        <v>42.39</v>
      </c>
      <c r="E3001" s="1">
        <f>IFERROR(__xludf.DUMMYFUNCTION("""COMPUTED_VALUE"""),42.72)</f>
        <v>42.72</v>
      </c>
      <c r="F3001" s="1">
        <f>IFERROR(__xludf.DUMMYFUNCTION("""COMPUTED_VALUE"""),298178.0)</f>
        <v>298178</v>
      </c>
    </row>
    <row r="3002">
      <c r="A3002" s="2">
        <f>IFERROR(__xludf.DUMMYFUNCTION("""COMPUTED_VALUE"""),44536.66666666667)</f>
        <v>44536.66667</v>
      </c>
      <c r="B3002" s="1">
        <f>IFERROR(__xludf.DUMMYFUNCTION("""COMPUTED_VALUE"""),43.5)</f>
        <v>43.5</v>
      </c>
      <c r="C3002" s="1">
        <f>IFERROR(__xludf.DUMMYFUNCTION("""COMPUTED_VALUE"""),44.36)</f>
        <v>44.36</v>
      </c>
      <c r="D3002" s="1">
        <f>IFERROR(__xludf.DUMMYFUNCTION("""COMPUTED_VALUE"""),43.2)</f>
        <v>43.2</v>
      </c>
      <c r="E3002" s="1">
        <f>IFERROR(__xludf.DUMMYFUNCTION("""COMPUTED_VALUE"""),43.71)</f>
        <v>43.71</v>
      </c>
      <c r="F3002" s="1">
        <f>IFERROR(__xludf.DUMMYFUNCTION("""COMPUTED_VALUE"""),437546.0)</f>
        <v>437546</v>
      </c>
    </row>
    <row r="3003">
      <c r="A3003" s="2">
        <f>IFERROR(__xludf.DUMMYFUNCTION("""COMPUTED_VALUE"""),44537.66666666667)</f>
        <v>44537.66667</v>
      </c>
      <c r="B3003" s="1">
        <f>IFERROR(__xludf.DUMMYFUNCTION("""COMPUTED_VALUE"""),44.03)</f>
        <v>44.03</v>
      </c>
      <c r="C3003" s="1">
        <f>IFERROR(__xludf.DUMMYFUNCTION("""COMPUTED_VALUE"""),44.3)</f>
        <v>44.3</v>
      </c>
      <c r="D3003" s="1">
        <f>IFERROR(__xludf.DUMMYFUNCTION("""COMPUTED_VALUE"""),43.31)</f>
        <v>43.31</v>
      </c>
      <c r="E3003" s="1">
        <f>IFERROR(__xludf.DUMMYFUNCTION("""COMPUTED_VALUE"""),43.64)</f>
        <v>43.64</v>
      </c>
      <c r="F3003" s="1">
        <f>IFERROR(__xludf.DUMMYFUNCTION("""COMPUTED_VALUE"""),389943.0)</f>
        <v>389943</v>
      </c>
    </row>
    <row r="3004">
      <c r="A3004" s="2">
        <f>IFERROR(__xludf.DUMMYFUNCTION("""COMPUTED_VALUE"""),44538.66666666667)</f>
        <v>44538.66667</v>
      </c>
      <c r="B3004" s="1">
        <f>IFERROR(__xludf.DUMMYFUNCTION("""COMPUTED_VALUE"""),43.73)</f>
        <v>43.73</v>
      </c>
      <c r="C3004" s="1">
        <f>IFERROR(__xludf.DUMMYFUNCTION("""COMPUTED_VALUE"""),44.14)</f>
        <v>44.14</v>
      </c>
      <c r="D3004" s="1">
        <f>IFERROR(__xludf.DUMMYFUNCTION("""COMPUTED_VALUE"""),42.86)</f>
        <v>42.86</v>
      </c>
      <c r="E3004" s="1">
        <f>IFERROR(__xludf.DUMMYFUNCTION("""COMPUTED_VALUE"""),43.65)</f>
        <v>43.65</v>
      </c>
      <c r="F3004" s="1">
        <f>IFERROR(__xludf.DUMMYFUNCTION("""COMPUTED_VALUE"""),276213.0)</f>
        <v>276213</v>
      </c>
    </row>
    <row r="3005">
      <c r="A3005" s="2">
        <f>IFERROR(__xludf.DUMMYFUNCTION("""COMPUTED_VALUE"""),44539.66666666667)</f>
        <v>44539.66667</v>
      </c>
      <c r="B3005" s="1">
        <f>IFERROR(__xludf.DUMMYFUNCTION("""COMPUTED_VALUE"""),43.24)</f>
        <v>43.24</v>
      </c>
      <c r="C3005" s="1">
        <f>IFERROR(__xludf.DUMMYFUNCTION("""COMPUTED_VALUE"""),43.94)</f>
        <v>43.94</v>
      </c>
      <c r="D3005" s="1">
        <f>IFERROR(__xludf.DUMMYFUNCTION("""COMPUTED_VALUE"""),43.17)</f>
        <v>43.17</v>
      </c>
      <c r="E3005" s="1">
        <f>IFERROR(__xludf.DUMMYFUNCTION("""COMPUTED_VALUE"""),43.5)</f>
        <v>43.5</v>
      </c>
      <c r="F3005" s="1">
        <f>IFERROR(__xludf.DUMMYFUNCTION("""COMPUTED_VALUE"""),288428.0)</f>
        <v>288428</v>
      </c>
    </row>
    <row r="3006">
      <c r="A3006" s="2">
        <f>IFERROR(__xludf.DUMMYFUNCTION("""COMPUTED_VALUE"""),44540.66666666667)</f>
        <v>44540.66667</v>
      </c>
      <c r="B3006" s="1">
        <f>IFERROR(__xludf.DUMMYFUNCTION("""COMPUTED_VALUE"""),43.74)</f>
        <v>43.74</v>
      </c>
      <c r="C3006" s="1">
        <f>IFERROR(__xludf.DUMMYFUNCTION("""COMPUTED_VALUE"""),44.55)</f>
        <v>44.55</v>
      </c>
      <c r="D3006" s="1">
        <f>IFERROR(__xludf.DUMMYFUNCTION("""COMPUTED_VALUE"""),43.21)</f>
        <v>43.21</v>
      </c>
      <c r="E3006" s="1">
        <f>IFERROR(__xludf.DUMMYFUNCTION("""COMPUTED_VALUE"""),43.88)</f>
        <v>43.88</v>
      </c>
      <c r="F3006" s="1">
        <f>IFERROR(__xludf.DUMMYFUNCTION("""COMPUTED_VALUE"""),334134.0)</f>
        <v>334134</v>
      </c>
    </row>
    <row r="3007">
      <c r="A3007" s="2">
        <f>IFERROR(__xludf.DUMMYFUNCTION("""COMPUTED_VALUE"""),44543.66666666667)</f>
        <v>44543.66667</v>
      </c>
      <c r="B3007" s="1">
        <f>IFERROR(__xludf.DUMMYFUNCTION("""COMPUTED_VALUE"""),43.58)</f>
        <v>43.58</v>
      </c>
      <c r="C3007" s="1">
        <f>IFERROR(__xludf.DUMMYFUNCTION("""COMPUTED_VALUE"""),43.58)</f>
        <v>43.58</v>
      </c>
      <c r="D3007" s="1">
        <f>IFERROR(__xludf.DUMMYFUNCTION("""COMPUTED_VALUE"""),42.16)</f>
        <v>42.16</v>
      </c>
      <c r="E3007" s="1">
        <f>IFERROR(__xludf.DUMMYFUNCTION("""COMPUTED_VALUE"""),42.46)</f>
        <v>42.46</v>
      </c>
      <c r="F3007" s="1">
        <f>IFERROR(__xludf.DUMMYFUNCTION("""COMPUTED_VALUE"""),376107.0)</f>
        <v>376107</v>
      </c>
    </row>
    <row r="3008">
      <c r="A3008" s="2">
        <f>IFERROR(__xludf.DUMMYFUNCTION("""COMPUTED_VALUE"""),44544.66666666667)</f>
        <v>44544.66667</v>
      </c>
      <c r="B3008" s="1">
        <f>IFERROR(__xludf.DUMMYFUNCTION("""COMPUTED_VALUE"""),42.51)</f>
        <v>42.51</v>
      </c>
      <c r="C3008" s="1">
        <f>IFERROR(__xludf.DUMMYFUNCTION("""COMPUTED_VALUE"""),43.47)</f>
        <v>43.47</v>
      </c>
      <c r="D3008" s="1">
        <f>IFERROR(__xludf.DUMMYFUNCTION("""COMPUTED_VALUE"""),42.35)</f>
        <v>42.35</v>
      </c>
      <c r="E3008" s="1">
        <f>IFERROR(__xludf.DUMMYFUNCTION("""COMPUTED_VALUE"""),42.59)</f>
        <v>42.59</v>
      </c>
      <c r="F3008" s="1">
        <f>IFERROR(__xludf.DUMMYFUNCTION("""COMPUTED_VALUE"""),402078.0)</f>
        <v>402078</v>
      </c>
    </row>
    <row r="3009">
      <c r="A3009" s="2">
        <f>IFERROR(__xludf.DUMMYFUNCTION("""COMPUTED_VALUE"""),44545.66666666667)</f>
        <v>44545.66667</v>
      </c>
      <c r="B3009" s="1">
        <f>IFERROR(__xludf.DUMMYFUNCTION("""COMPUTED_VALUE"""),42.91)</f>
        <v>42.91</v>
      </c>
      <c r="C3009" s="1">
        <f>IFERROR(__xludf.DUMMYFUNCTION("""COMPUTED_VALUE"""),43.39)</f>
        <v>43.39</v>
      </c>
      <c r="D3009" s="1">
        <f>IFERROR(__xludf.DUMMYFUNCTION("""COMPUTED_VALUE"""),42.2)</f>
        <v>42.2</v>
      </c>
      <c r="E3009" s="1">
        <f>IFERROR(__xludf.DUMMYFUNCTION("""COMPUTED_VALUE"""),42.97)</f>
        <v>42.97</v>
      </c>
      <c r="F3009" s="1">
        <f>IFERROR(__xludf.DUMMYFUNCTION("""COMPUTED_VALUE"""),417392.0)</f>
        <v>417392</v>
      </c>
    </row>
    <row r="3010">
      <c r="A3010" s="2">
        <f>IFERROR(__xludf.DUMMYFUNCTION("""COMPUTED_VALUE"""),44546.66666666667)</f>
        <v>44546.66667</v>
      </c>
      <c r="B3010" s="1">
        <f>IFERROR(__xludf.DUMMYFUNCTION("""COMPUTED_VALUE"""),43.66)</f>
        <v>43.66</v>
      </c>
      <c r="C3010" s="1">
        <f>IFERROR(__xludf.DUMMYFUNCTION("""COMPUTED_VALUE"""),43.92)</f>
        <v>43.92</v>
      </c>
      <c r="D3010" s="1">
        <f>IFERROR(__xludf.DUMMYFUNCTION("""COMPUTED_VALUE"""),42.69)</f>
        <v>42.69</v>
      </c>
      <c r="E3010" s="1">
        <f>IFERROR(__xludf.DUMMYFUNCTION("""COMPUTED_VALUE"""),42.91)</f>
        <v>42.91</v>
      </c>
      <c r="F3010" s="1">
        <f>IFERROR(__xludf.DUMMYFUNCTION("""COMPUTED_VALUE"""),411500.0)</f>
        <v>411500</v>
      </c>
    </row>
    <row r="3011">
      <c r="A3011" s="2">
        <f>IFERROR(__xludf.DUMMYFUNCTION("""COMPUTED_VALUE"""),44547.66666666667)</f>
        <v>44547.66667</v>
      </c>
      <c r="B3011" s="1">
        <f>IFERROR(__xludf.DUMMYFUNCTION("""COMPUTED_VALUE"""),42.82)</f>
        <v>42.82</v>
      </c>
      <c r="C3011" s="1">
        <f>IFERROR(__xludf.DUMMYFUNCTION("""COMPUTED_VALUE"""),42.82)</f>
        <v>42.82</v>
      </c>
      <c r="D3011" s="1">
        <f>IFERROR(__xludf.DUMMYFUNCTION("""COMPUTED_VALUE"""),41.53)</f>
        <v>41.53</v>
      </c>
      <c r="E3011" s="1">
        <f>IFERROR(__xludf.DUMMYFUNCTION("""COMPUTED_VALUE"""),41.65)</f>
        <v>41.65</v>
      </c>
      <c r="F3011" s="1">
        <f>IFERROR(__xludf.DUMMYFUNCTION("""COMPUTED_VALUE"""),1465549.0)</f>
        <v>1465549</v>
      </c>
    </row>
    <row r="3012">
      <c r="A3012" s="2">
        <f>IFERROR(__xludf.DUMMYFUNCTION("""COMPUTED_VALUE"""),44550.66666666667)</f>
        <v>44550.66667</v>
      </c>
      <c r="B3012" s="1">
        <f>IFERROR(__xludf.DUMMYFUNCTION("""COMPUTED_VALUE"""),41.09)</f>
        <v>41.09</v>
      </c>
      <c r="C3012" s="1">
        <f>IFERROR(__xludf.DUMMYFUNCTION("""COMPUTED_VALUE"""),41.14)</f>
        <v>41.14</v>
      </c>
      <c r="D3012" s="1">
        <f>IFERROR(__xludf.DUMMYFUNCTION("""COMPUTED_VALUE"""),39.83)</f>
        <v>39.83</v>
      </c>
      <c r="E3012" s="1">
        <f>IFERROR(__xludf.DUMMYFUNCTION("""COMPUTED_VALUE"""),40.76)</f>
        <v>40.76</v>
      </c>
      <c r="F3012" s="1">
        <f>IFERROR(__xludf.DUMMYFUNCTION("""COMPUTED_VALUE"""),430322.0)</f>
        <v>430322</v>
      </c>
    </row>
    <row r="3013">
      <c r="A3013" s="2">
        <f>IFERROR(__xludf.DUMMYFUNCTION("""COMPUTED_VALUE"""),44551.66666666667)</f>
        <v>44551.66667</v>
      </c>
      <c r="B3013" s="1">
        <f>IFERROR(__xludf.DUMMYFUNCTION("""COMPUTED_VALUE"""),41.3)</f>
        <v>41.3</v>
      </c>
      <c r="C3013" s="1">
        <f>IFERROR(__xludf.DUMMYFUNCTION("""COMPUTED_VALUE"""),42.18)</f>
        <v>42.18</v>
      </c>
      <c r="D3013" s="1">
        <f>IFERROR(__xludf.DUMMYFUNCTION("""COMPUTED_VALUE"""),41.14)</f>
        <v>41.14</v>
      </c>
      <c r="E3013" s="1">
        <f>IFERROR(__xludf.DUMMYFUNCTION("""COMPUTED_VALUE"""),42.13)</f>
        <v>42.13</v>
      </c>
      <c r="F3013" s="1">
        <f>IFERROR(__xludf.DUMMYFUNCTION("""COMPUTED_VALUE"""),464374.0)</f>
        <v>464374</v>
      </c>
    </row>
    <row r="3014">
      <c r="A3014" s="2">
        <f>IFERROR(__xludf.DUMMYFUNCTION("""COMPUTED_VALUE"""),44552.66666666667)</f>
        <v>44552.66667</v>
      </c>
      <c r="B3014" s="1">
        <f>IFERROR(__xludf.DUMMYFUNCTION("""COMPUTED_VALUE"""),42.04)</f>
        <v>42.04</v>
      </c>
      <c r="C3014" s="1">
        <f>IFERROR(__xludf.DUMMYFUNCTION("""COMPUTED_VALUE"""),42.43)</f>
        <v>42.43</v>
      </c>
      <c r="D3014" s="1">
        <f>IFERROR(__xludf.DUMMYFUNCTION("""COMPUTED_VALUE"""),41.92)</f>
        <v>41.92</v>
      </c>
      <c r="E3014" s="1">
        <f>IFERROR(__xludf.DUMMYFUNCTION("""COMPUTED_VALUE"""),42.37)</f>
        <v>42.37</v>
      </c>
      <c r="F3014" s="1">
        <f>IFERROR(__xludf.DUMMYFUNCTION("""COMPUTED_VALUE"""),263383.0)</f>
        <v>263383</v>
      </c>
    </row>
    <row r="3015">
      <c r="A3015" s="2">
        <f>IFERROR(__xludf.DUMMYFUNCTION("""COMPUTED_VALUE"""),44553.66666666667)</f>
        <v>44553.66667</v>
      </c>
      <c r="B3015" s="1">
        <f>IFERROR(__xludf.DUMMYFUNCTION("""COMPUTED_VALUE"""),42.6)</f>
        <v>42.6</v>
      </c>
      <c r="C3015" s="1">
        <f>IFERROR(__xludf.DUMMYFUNCTION("""COMPUTED_VALUE"""),42.91)</f>
        <v>42.91</v>
      </c>
      <c r="D3015" s="1">
        <f>IFERROR(__xludf.DUMMYFUNCTION("""COMPUTED_VALUE"""),42.08)</f>
        <v>42.08</v>
      </c>
      <c r="E3015" s="1">
        <f>IFERROR(__xludf.DUMMYFUNCTION("""COMPUTED_VALUE"""),42.32)</f>
        <v>42.32</v>
      </c>
      <c r="F3015" s="1">
        <f>IFERROR(__xludf.DUMMYFUNCTION("""COMPUTED_VALUE"""),211375.0)</f>
        <v>211375</v>
      </c>
    </row>
    <row r="3016">
      <c r="A3016" s="2">
        <f>IFERROR(__xludf.DUMMYFUNCTION("""COMPUTED_VALUE"""),44557.66666666667)</f>
        <v>44557.66667</v>
      </c>
      <c r="B3016" s="1">
        <f>IFERROR(__xludf.DUMMYFUNCTION("""COMPUTED_VALUE"""),42.51)</f>
        <v>42.51</v>
      </c>
      <c r="C3016" s="1">
        <f>IFERROR(__xludf.DUMMYFUNCTION("""COMPUTED_VALUE"""),42.82)</f>
        <v>42.82</v>
      </c>
      <c r="D3016" s="1">
        <f>IFERROR(__xludf.DUMMYFUNCTION("""COMPUTED_VALUE"""),42.01)</f>
        <v>42.01</v>
      </c>
      <c r="E3016" s="1">
        <f>IFERROR(__xludf.DUMMYFUNCTION("""COMPUTED_VALUE"""),42.81)</f>
        <v>42.81</v>
      </c>
      <c r="F3016" s="1">
        <f>IFERROR(__xludf.DUMMYFUNCTION("""COMPUTED_VALUE"""),286733.0)</f>
        <v>286733</v>
      </c>
    </row>
    <row r="3017">
      <c r="A3017" s="2">
        <f>IFERROR(__xludf.DUMMYFUNCTION("""COMPUTED_VALUE"""),44558.66666666667)</f>
        <v>44558.66667</v>
      </c>
      <c r="B3017" s="1">
        <f>IFERROR(__xludf.DUMMYFUNCTION("""COMPUTED_VALUE"""),42.75)</f>
        <v>42.75</v>
      </c>
      <c r="C3017" s="1">
        <f>IFERROR(__xludf.DUMMYFUNCTION("""COMPUTED_VALUE"""),43.29)</f>
        <v>43.29</v>
      </c>
      <c r="D3017" s="1">
        <f>IFERROR(__xludf.DUMMYFUNCTION("""COMPUTED_VALUE"""),42.58)</f>
        <v>42.58</v>
      </c>
      <c r="E3017" s="1">
        <f>IFERROR(__xludf.DUMMYFUNCTION("""COMPUTED_VALUE"""),42.99)</f>
        <v>42.99</v>
      </c>
      <c r="F3017" s="1">
        <f>IFERROR(__xludf.DUMMYFUNCTION("""COMPUTED_VALUE"""),170792.0)</f>
        <v>170792</v>
      </c>
    </row>
    <row r="3018">
      <c r="A3018" s="2">
        <f>IFERROR(__xludf.DUMMYFUNCTION("""COMPUTED_VALUE"""),44559.66666666667)</f>
        <v>44559.66667</v>
      </c>
      <c r="B3018" s="1">
        <f>IFERROR(__xludf.DUMMYFUNCTION("""COMPUTED_VALUE"""),43.14)</f>
        <v>43.14</v>
      </c>
      <c r="C3018" s="1">
        <f>IFERROR(__xludf.DUMMYFUNCTION("""COMPUTED_VALUE"""),43.41)</f>
        <v>43.41</v>
      </c>
      <c r="D3018" s="1">
        <f>IFERROR(__xludf.DUMMYFUNCTION("""COMPUTED_VALUE"""),43.02)</f>
        <v>43.02</v>
      </c>
      <c r="E3018" s="1">
        <f>IFERROR(__xludf.DUMMYFUNCTION("""COMPUTED_VALUE"""),43.29)</f>
        <v>43.29</v>
      </c>
      <c r="F3018" s="1">
        <f>IFERROR(__xludf.DUMMYFUNCTION("""COMPUTED_VALUE"""),139788.0)</f>
        <v>139788</v>
      </c>
    </row>
    <row r="3019">
      <c r="A3019" s="2">
        <f>IFERROR(__xludf.DUMMYFUNCTION("""COMPUTED_VALUE"""),44560.66666666667)</f>
        <v>44560.66667</v>
      </c>
      <c r="B3019" s="1">
        <f>IFERROR(__xludf.DUMMYFUNCTION("""COMPUTED_VALUE"""),43.27)</f>
        <v>43.27</v>
      </c>
      <c r="C3019" s="1">
        <f>IFERROR(__xludf.DUMMYFUNCTION("""COMPUTED_VALUE"""),43.89)</f>
        <v>43.89</v>
      </c>
      <c r="D3019" s="1">
        <f>IFERROR(__xludf.DUMMYFUNCTION("""COMPUTED_VALUE"""),43.02)</f>
        <v>43.02</v>
      </c>
      <c r="E3019" s="1">
        <f>IFERROR(__xludf.DUMMYFUNCTION("""COMPUTED_VALUE"""),43.09)</f>
        <v>43.09</v>
      </c>
      <c r="F3019" s="1">
        <f>IFERROR(__xludf.DUMMYFUNCTION("""COMPUTED_VALUE"""),222045.0)</f>
        <v>222045</v>
      </c>
    </row>
    <row r="3020">
      <c r="A3020" s="2">
        <f>IFERROR(__xludf.DUMMYFUNCTION("""COMPUTED_VALUE"""),44561.66666666667)</f>
        <v>44561.66667</v>
      </c>
      <c r="B3020" s="1">
        <f>IFERROR(__xludf.DUMMYFUNCTION("""COMPUTED_VALUE"""),43.01)</f>
        <v>43.01</v>
      </c>
      <c r="C3020" s="1">
        <f>IFERROR(__xludf.DUMMYFUNCTION("""COMPUTED_VALUE"""),43.32)</f>
        <v>43.32</v>
      </c>
      <c r="D3020" s="1">
        <f>IFERROR(__xludf.DUMMYFUNCTION("""COMPUTED_VALUE"""),42.71)</f>
        <v>42.71</v>
      </c>
      <c r="E3020" s="1">
        <f>IFERROR(__xludf.DUMMYFUNCTION("""COMPUTED_VALUE"""),42.99)</f>
        <v>42.99</v>
      </c>
      <c r="F3020" s="1">
        <f>IFERROR(__xludf.DUMMYFUNCTION("""COMPUTED_VALUE"""),170899.0)</f>
        <v>170899</v>
      </c>
    </row>
    <row r="3021">
      <c r="A3021" s="2">
        <f>IFERROR(__xludf.DUMMYFUNCTION("""COMPUTED_VALUE"""),44564.66666666667)</f>
        <v>44564.66667</v>
      </c>
      <c r="B3021" s="1">
        <f>IFERROR(__xludf.DUMMYFUNCTION("""COMPUTED_VALUE"""),43.53)</f>
        <v>43.53</v>
      </c>
      <c r="C3021" s="1">
        <f>IFERROR(__xludf.DUMMYFUNCTION("""COMPUTED_VALUE"""),44.33)</f>
        <v>44.33</v>
      </c>
      <c r="D3021" s="1">
        <f>IFERROR(__xludf.DUMMYFUNCTION("""COMPUTED_VALUE"""),43.09)</f>
        <v>43.09</v>
      </c>
      <c r="E3021" s="1">
        <f>IFERROR(__xludf.DUMMYFUNCTION("""COMPUTED_VALUE"""),43.58)</f>
        <v>43.58</v>
      </c>
      <c r="F3021" s="1">
        <f>IFERROR(__xludf.DUMMYFUNCTION("""COMPUTED_VALUE"""),270832.0)</f>
        <v>270832</v>
      </c>
    </row>
    <row r="3022">
      <c r="A3022" s="2">
        <f>IFERROR(__xludf.DUMMYFUNCTION("""COMPUTED_VALUE"""),44565.66666666667)</f>
        <v>44565.66667</v>
      </c>
      <c r="B3022" s="1">
        <f>IFERROR(__xludf.DUMMYFUNCTION("""COMPUTED_VALUE"""),44.08)</f>
        <v>44.08</v>
      </c>
      <c r="C3022" s="1">
        <f>IFERROR(__xludf.DUMMYFUNCTION("""COMPUTED_VALUE"""),45.18)</f>
        <v>45.18</v>
      </c>
      <c r="D3022" s="1">
        <f>IFERROR(__xludf.DUMMYFUNCTION("""COMPUTED_VALUE"""),43.63)</f>
        <v>43.63</v>
      </c>
      <c r="E3022" s="1">
        <f>IFERROR(__xludf.DUMMYFUNCTION("""COMPUTED_VALUE"""),44.55)</f>
        <v>44.55</v>
      </c>
      <c r="F3022" s="1">
        <f>IFERROR(__xludf.DUMMYFUNCTION("""COMPUTED_VALUE"""),277291.0)</f>
        <v>277291</v>
      </c>
    </row>
    <row r="3023">
      <c r="A3023" s="2">
        <f>IFERROR(__xludf.DUMMYFUNCTION("""COMPUTED_VALUE"""),44566.66666666667)</f>
        <v>44566.66667</v>
      </c>
      <c r="B3023" s="1">
        <f>IFERROR(__xludf.DUMMYFUNCTION("""COMPUTED_VALUE"""),44.84)</f>
        <v>44.84</v>
      </c>
      <c r="C3023" s="1">
        <f>IFERROR(__xludf.DUMMYFUNCTION("""COMPUTED_VALUE"""),45.18)</f>
        <v>45.18</v>
      </c>
      <c r="D3023" s="1">
        <f>IFERROR(__xludf.DUMMYFUNCTION("""COMPUTED_VALUE"""),44.24)</f>
        <v>44.24</v>
      </c>
      <c r="E3023" s="1">
        <f>IFERROR(__xludf.DUMMYFUNCTION("""COMPUTED_VALUE"""),44.27)</f>
        <v>44.27</v>
      </c>
      <c r="F3023" s="1">
        <f>IFERROR(__xludf.DUMMYFUNCTION("""COMPUTED_VALUE"""),223663.0)</f>
        <v>223663</v>
      </c>
    </row>
    <row r="3024">
      <c r="A3024" s="2">
        <f>IFERROR(__xludf.DUMMYFUNCTION("""COMPUTED_VALUE"""),44567.66666666667)</f>
        <v>44567.66667</v>
      </c>
      <c r="B3024" s="1">
        <f>IFERROR(__xludf.DUMMYFUNCTION("""COMPUTED_VALUE"""),44.9)</f>
        <v>44.9</v>
      </c>
      <c r="C3024" s="1">
        <f>IFERROR(__xludf.DUMMYFUNCTION("""COMPUTED_VALUE"""),45.95)</f>
        <v>45.95</v>
      </c>
      <c r="D3024" s="1">
        <f>IFERROR(__xludf.DUMMYFUNCTION("""COMPUTED_VALUE"""),44.52)</f>
        <v>44.52</v>
      </c>
      <c r="E3024" s="1">
        <f>IFERROR(__xludf.DUMMYFUNCTION("""COMPUTED_VALUE"""),45.89)</f>
        <v>45.89</v>
      </c>
      <c r="F3024" s="1">
        <f>IFERROR(__xludf.DUMMYFUNCTION("""COMPUTED_VALUE"""),315642.0)</f>
        <v>315642</v>
      </c>
    </row>
    <row r="3025">
      <c r="A3025" s="2">
        <f>IFERROR(__xludf.DUMMYFUNCTION("""COMPUTED_VALUE"""),44568.66666666667)</f>
        <v>44568.66667</v>
      </c>
      <c r="B3025" s="1">
        <f>IFERROR(__xludf.DUMMYFUNCTION("""COMPUTED_VALUE"""),45.9)</f>
        <v>45.9</v>
      </c>
      <c r="C3025" s="1">
        <f>IFERROR(__xludf.DUMMYFUNCTION("""COMPUTED_VALUE"""),46.46)</f>
        <v>46.46</v>
      </c>
      <c r="D3025" s="1">
        <f>IFERROR(__xludf.DUMMYFUNCTION("""COMPUTED_VALUE"""),45.5)</f>
        <v>45.5</v>
      </c>
      <c r="E3025" s="1">
        <f>IFERROR(__xludf.DUMMYFUNCTION("""COMPUTED_VALUE"""),46.3)</f>
        <v>46.3</v>
      </c>
      <c r="F3025" s="1">
        <f>IFERROR(__xludf.DUMMYFUNCTION("""COMPUTED_VALUE"""),279238.0)</f>
        <v>279238</v>
      </c>
    </row>
    <row r="3026">
      <c r="A3026" s="2">
        <f>IFERROR(__xludf.DUMMYFUNCTION("""COMPUTED_VALUE"""),44571.66666666667)</f>
        <v>44571.66667</v>
      </c>
      <c r="B3026" s="1">
        <f>IFERROR(__xludf.DUMMYFUNCTION("""COMPUTED_VALUE"""),46.54)</f>
        <v>46.54</v>
      </c>
      <c r="C3026" s="1">
        <f>IFERROR(__xludf.DUMMYFUNCTION("""COMPUTED_VALUE"""),46.55)</f>
        <v>46.55</v>
      </c>
      <c r="D3026" s="1">
        <f>IFERROR(__xludf.DUMMYFUNCTION("""COMPUTED_VALUE"""),45.77)</f>
        <v>45.77</v>
      </c>
      <c r="E3026" s="1">
        <f>IFERROR(__xludf.DUMMYFUNCTION("""COMPUTED_VALUE"""),46.4)</f>
        <v>46.4</v>
      </c>
      <c r="F3026" s="1">
        <f>IFERROR(__xludf.DUMMYFUNCTION("""COMPUTED_VALUE"""),301406.0)</f>
        <v>301406</v>
      </c>
    </row>
    <row r="3027">
      <c r="A3027" s="2">
        <f>IFERROR(__xludf.DUMMYFUNCTION("""COMPUTED_VALUE"""),44572.66666666667)</f>
        <v>44572.66667</v>
      </c>
      <c r="B3027" s="1">
        <f>IFERROR(__xludf.DUMMYFUNCTION("""COMPUTED_VALUE"""),46.65)</f>
        <v>46.65</v>
      </c>
      <c r="C3027" s="1">
        <f>IFERROR(__xludf.DUMMYFUNCTION("""COMPUTED_VALUE"""),46.75)</f>
        <v>46.75</v>
      </c>
      <c r="D3027" s="1">
        <f>IFERROR(__xludf.DUMMYFUNCTION("""COMPUTED_VALUE"""),45.31)</f>
        <v>45.31</v>
      </c>
      <c r="E3027" s="1">
        <f>IFERROR(__xludf.DUMMYFUNCTION("""COMPUTED_VALUE"""),46.54)</f>
        <v>46.54</v>
      </c>
      <c r="F3027" s="1">
        <f>IFERROR(__xludf.DUMMYFUNCTION("""COMPUTED_VALUE"""),269518.0)</f>
        <v>269518</v>
      </c>
    </row>
    <row r="3028">
      <c r="A3028" s="2">
        <f>IFERROR(__xludf.DUMMYFUNCTION("""COMPUTED_VALUE"""),44573.66666666667)</f>
        <v>44573.66667</v>
      </c>
      <c r="B3028" s="1">
        <f>IFERROR(__xludf.DUMMYFUNCTION("""COMPUTED_VALUE"""),46.47)</f>
        <v>46.47</v>
      </c>
      <c r="C3028" s="1">
        <f>IFERROR(__xludf.DUMMYFUNCTION("""COMPUTED_VALUE"""),46.86)</f>
        <v>46.86</v>
      </c>
      <c r="D3028" s="1">
        <f>IFERROR(__xludf.DUMMYFUNCTION("""COMPUTED_VALUE"""),45.83)</f>
        <v>45.83</v>
      </c>
      <c r="E3028" s="1">
        <f>IFERROR(__xludf.DUMMYFUNCTION("""COMPUTED_VALUE"""),46.02)</f>
        <v>46.02</v>
      </c>
      <c r="F3028" s="1">
        <f>IFERROR(__xludf.DUMMYFUNCTION("""COMPUTED_VALUE"""),314229.0)</f>
        <v>314229</v>
      </c>
    </row>
    <row r="3029">
      <c r="A3029" s="2">
        <f>IFERROR(__xludf.DUMMYFUNCTION("""COMPUTED_VALUE"""),44574.66666666667)</f>
        <v>44574.66667</v>
      </c>
      <c r="B3029" s="1">
        <f>IFERROR(__xludf.DUMMYFUNCTION("""COMPUTED_VALUE"""),46.17)</f>
        <v>46.17</v>
      </c>
      <c r="C3029" s="1">
        <f>IFERROR(__xludf.DUMMYFUNCTION("""COMPUTED_VALUE"""),46.83)</f>
        <v>46.83</v>
      </c>
      <c r="D3029" s="1">
        <f>IFERROR(__xludf.DUMMYFUNCTION("""COMPUTED_VALUE"""),46.08)</f>
        <v>46.08</v>
      </c>
      <c r="E3029" s="1">
        <f>IFERROR(__xludf.DUMMYFUNCTION("""COMPUTED_VALUE"""),46.32)</f>
        <v>46.32</v>
      </c>
      <c r="F3029" s="1">
        <f>IFERROR(__xludf.DUMMYFUNCTION("""COMPUTED_VALUE"""),237326.0)</f>
        <v>237326</v>
      </c>
    </row>
    <row r="3030">
      <c r="A3030" s="2">
        <f>IFERROR(__xludf.DUMMYFUNCTION("""COMPUTED_VALUE"""),44575.66666666667)</f>
        <v>44575.66667</v>
      </c>
      <c r="B3030" s="1">
        <f>IFERROR(__xludf.DUMMYFUNCTION("""COMPUTED_VALUE"""),45.79)</f>
        <v>45.79</v>
      </c>
      <c r="C3030" s="1">
        <f>IFERROR(__xludf.DUMMYFUNCTION("""COMPUTED_VALUE"""),46.96)</f>
        <v>46.96</v>
      </c>
      <c r="D3030" s="1">
        <f>IFERROR(__xludf.DUMMYFUNCTION("""COMPUTED_VALUE"""),45.52)</f>
        <v>45.52</v>
      </c>
      <c r="E3030" s="1">
        <f>IFERROR(__xludf.DUMMYFUNCTION("""COMPUTED_VALUE"""),46.91)</f>
        <v>46.91</v>
      </c>
      <c r="F3030" s="1">
        <f>IFERROR(__xludf.DUMMYFUNCTION("""COMPUTED_VALUE"""),212068.0)</f>
        <v>212068</v>
      </c>
    </row>
    <row r="3031">
      <c r="A3031" s="2">
        <f>IFERROR(__xludf.DUMMYFUNCTION("""COMPUTED_VALUE"""),44579.66666666667)</f>
        <v>44579.66667</v>
      </c>
      <c r="B3031" s="1">
        <f>IFERROR(__xludf.DUMMYFUNCTION("""COMPUTED_VALUE"""),46.89)</f>
        <v>46.89</v>
      </c>
      <c r="C3031" s="1">
        <f>IFERROR(__xludf.DUMMYFUNCTION("""COMPUTED_VALUE"""),46.95)</f>
        <v>46.95</v>
      </c>
      <c r="D3031" s="1">
        <f>IFERROR(__xludf.DUMMYFUNCTION("""COMPUTED_VALUE"""),46.19)</f>
        <v>46.19</v>
      </c>
      <c r="E3031" s="1">
        <f>IFERROR(__xludf.DUMMYFUNCTION("""COMPUTED_VALUE"""),46.51)</f>
        <v>46.51</v>
      </c>
      <c r="F3031" s="1">
        <f>IFERROR(__xludf.DUMMYFUNCTION("""COMPUTED_VALUE"""),259536.0)</f>
        <v>259536</v>
      </c>
    </row>
    <row r="3032">
      <c r="A3032" s="2">
        <f>IFERROR(__xludf.DUMMYFUNCTION("""COMPUTED_VALUE"""),44580.66666666667)</f>
        <v>44580.66667</v>
      </c>
      <c r="B3032" s="1">
        <f>IFERROR(__xludf.DUMMYFUNCTION("""COMPUTED_VALUE"""),46.92)</f>
        <v>46.92</v>
      </c>
      <c r="C3032" s="1">
        <f>IFERROR(__xludf.DUMMYFUNCTION("""COMPUTED_VALUE"""),46.95)</f>
        <v>46.95</v>
      </c>
      <c r="D3032" s="1">
        <f>IFERROR(__xludf.DUMMYFUNCTION("""COMPUTED_VALUE"""),45.18)</f>
        <v>45.18</v>
      </c>
      <c r="E3032" s="1">
        <f>IFERROR(__xludf.DUMMYFUNCTION("""COMPUTED_VALUE"""),45.21)</f>
        <v>45.21</v>
      </c>
      <c r="F3032" s="1">
        <f>IFERROR(__xludf.DUMMYFUNCTION("""COMPUTED_VALUE"""),283526.0)</f>
        <v>283526</v>
      </c>
    </row>
    <row r="3033">
      <c r="A3033" s="2">
        <f>IFERROR(__xludf.DUMMYFUNCTION("""COMPUTED_VALUE"""),44581.66666666667)</f>
        <v>44581.66667</v>
      </c>
      <c r="B3033" s="1">
        <f>IFERROR(__xludf.DUMMYFUNCTION("""COMPUTED_VALUE"""),45.21)</f>
        <v>45.21</v>
      </c>
      <c r="C3033" s="1">
        <f>IFERROR(__xludf.DUMMYFUNCTION("""COMPUTED_VALUE"""),45.86)</f>
        <v>45.86</v>
      </c>
      <c r="D3033" s="1">
        <f>IFERROR(__xludf.DUMMYFUNCTION("""COMPUTED_VALUE"""),43.93)</f>
        <v>43.93</v>
      </c>
      <c r="E3033" s="1">
        <f>IFERROR(__xludf.DUMMYFUNCTION("""COMPUTED_VALUE"""),44.1)</f>
        <v>44.1</v>
      </c>
      <c r="F3033" s="1">
        <f>IFERROR(__xludf.DUMMYFUNCTION("""COMPUTED_VALUE"""),313469.0)</f>
        <v>313469</v>
      </c>
    </row>
    <row r="3034">
      <c r="A3034" s="2">
        <f>IFERROR(__xludf.DUMMYFUNCTION("""COMPUTED_VALUE"""),44582.66666666667)</f>
        <v>44582.66667</v>
      </c>
      <c r="B3034" s="1">
        <f>IFERROR(__xludf.DUMMYFUNCTION("""COMPUTED_VALUE"""),43.98)</f>
        <v>43.98</v>
      </c>
      <c r="C3034" s="1">
        <f>IFERROR(__xludf.DUMMYFUNCTION("""COMPUTED_VALUE"""),44.84)</f>
        <v>44.84</v>
      </c>
      <c r="D3034" s="1">
        <f>IFERROR(__xludf.DUMMYFUNCTION("""COMPUTED_VALUE"""),43.31)</f>
        <v>43.31</v>
      </c>
      <c r="E3034" s="1">
        <f>IFERROR(__xludf.DUMMYFUNCTION("""COMPUTED_VALUE"""),43.41)</f>
        <v>43.41</v>
      </c>
      <c r="F3034" s="1">
        <f>IFERROR(__xludf.DUMMYFUNCTION("""COMPUTED_VALUE"""),534433.0)</f>
        <v>534433</v>
      </c>
    </row>
    <row r="3035">
      <c r="A3035" s="2">
        <f>IFERROR(__xludf.DUMMYFUNCTION("""COMPUTED_VALUE"""),44585.66666666667)</f>
        <v>44585.66667</v>
      </c>
      <c r="B3035" s="1">
        <f>IFERROR(__xludf.DUMMYFUNCTION("""COMPUTED_VALUE"""),43.2)</f>
        <v>43.2</v>
      </c>
      <c r="C3035" s="1">
        <f>IFERROR(__xludf.DUMMYFUNCTION("""COMPUTED_VALUE"""),44.44)</f>
        <v>44.44</v>
      </c>
      <c r="D3035" s="1">
        <f>IFERROR(__xludf.DUMMYFUNCTION("""COMPUTED_VALUE"""),42.67)</f>
        <v>42.67</v>
      </c>
      <c r="E3035" s="1">
        <f>IFERROR(__xludf.DUMMYFUNCTION("""COMPUTED_VALUE"""),44.37)</f>
        <v>44.37</v>
      </c>
      <c r="F3035" s="1">
        <f>IFERROR(__xludf.DUMMYFUNCTION("""COMPUTED_VALUE"""),488752.0)</f>
        <v>488752</v>
      </c>
    </row>
    <row r="3036">
      <c r="A3036" s="2">
        <f>IFERROR(__xludf.DUMMYFUNCTION("""COMPUTED_VALUE"""),44586.66666666667)</f>
        <v>44586.66667</v>
      </c>
      <c r="B3036" s="1">
        <f>IFERROR(__xludf.DUMMYFUNCTION("""COMPUTED_VALUE"""),45.79)</f>
        <v>45.79</v>
      </c>
      <c r="C3036" s="1">
        <f>IFERROR(__xludf.DUMMYFUNCTION("""COMPUTED_VALUE"""),45.79)</f>
        <v>45.79</v>
      </c>
      <c r="D3036" s="1">
        <f>IFERROR(__xludf.DUMMYFUNCTION("""COMPUTED_VALUE"""),43.0)</f>
        <v>43</v>
      </c>
      <c r="E3036" s="1">
        <f>IFERROR(__xludf.DUMMYFUNCTION("""COMPUTED_VALUE"""),44.45)</f>
        <v>44.45</v>
      </c>
      <c r="F3036" s="1">
        <f>IFERROR(__xludf.DUMMYFUNCTION("""COMPUTED_VALUE"""),482796.0)</f>
        <v>482796</v>
      </c>
    </row>
    <row r="3037">
      <c r="A3037" s="2">
        <f>IFERROR(__xludf.DUMMYFUNCTION("""COMPUTED_VALUE"""),44587.66666666667)</f>
        <v>44587.66667</v>
      </c>
      <c r="B3037" s="1">
        <f>IFERROR(__xludf.DUMMYFUNCTION("""COMPUTED_VALUE"""),44.92)</f>
        <v>44.92</v>
      </c>
      <c r="C3037" s="1">
        <f>IFERROR(__xludf.DUMMYFUNCTION("""COMPUTED_VALUE"""),45.38)</f>
        <v>45.38</v>
      </c>
      <c r="D3037" s="1">
        <f>IFERROR(__xludf.DUMMYFUNCTION("""COMPUTED_VALUE"""),43.32)</f>
        <v>43.32</v>
      </c>
      <c r="E3037" s="1">
        <f>IFERROR(__xludf.DUMMYFUNCTION("""COMPUTED_VALUE"""),44.05)</f>
        <v>44.05</v>
      </c>
      <c r="F3037" s="1">
        <f>IFERROR(__xludf.DUMMYFUNCTION("""COMPUTED_VALUE"""),264426.0)</f>
        <v>264426</v>
      </c>
    </row>
    <row r="3038">
      <c r="A3038" s="2">
        <f>IFERROR(__xludf.DUMMYFUNCTION("""COMPUTED_VALUE"""),44588.66666666667)</f>
        <v>44588.66667</v>
      </c>
      <c r="B3038" s="1">
        <f>IFERROR(__xludf.DUMMYFUNCTION("""COMPUTED_VALUE"""),44.31)</f>
        <v>44.31</v>
      </c>
      <c r="C3038" s="1">
        <f>IFERROR(__xludf.DUMMYFUNCTION("""COMPUTED_VALUE"""),45.04)</f>
        <v>45.04</v>
      </c>
      <c r="D3038" s="1">
        <f>IFERROR(__xludf.DUMMYFUNCTION("""COMPUTED_VALUE"""),42.22)</f>
        <v>42.22</v>
      </c>
      <c r="E3038" s="1">
        <f>IFERROR(__xludf.DUMMYFUNCTION("""COMPUTED_VALUE"""),42.63)</f>
        <v>42.63</v>
      </c>
      <c r="F3038" s="1">
        <f>IFERROR(__xludf.DUMMYFUNCTION("""COMPUTED_VALUE"""),382767.0)</f>
        <v>382767</v>
      </c>
    </row>
    <row r="3039">
      <c r="A3039" s="2">
        <f>IFERROR(__xludf.DUMMYFUNCTION("""COMPUTED_VALUE"""),44589.66666666667)</f>
        <v>44589.66667</v>
      </c>
      <c r="B3039" s="1">
        <f>IFERROR(__xludf.DUMMYFUNCTION("""COMPUTED_VALUE"""),44.47)</f>
        <v>44.47</v>
      </c>
      <c r="C3039" s="1">
        <f>IFERROR(__xludf.DUMMYFUNCTION("""COMPUTED_VALUE"""),45.04)</f>
        <v>45.04</v>
      </c>
      <c r="D3039" s="1">
        <f>IFERROR(__xludf.DUMMYFUNCTION("""COMPUTED_VALUE"""),43.18)</f>
        <v>43.18</v>
      </c>
      <c r="E3039" s="1">
        <f>IFERROR(__xludf.DUMMYFUNCTION("""COMPUTED_VALUE"""),44.59)</f>
        <v>44.59</v>
      </c>
      <c r="F3039" s="1">
        <f>IFERROR(__xludf.DUMMYFUNCTION("""COMPUTED_VALUE"""),538836.0)</f>
        <v>538836</v>
      </c>
    </row>
    <row r="3040">
      <c r="A3040" s="2">
        <f>IFERROR(__xludf.DUMMYFUNCTION("""COMPUTED_VALUE"""),44592.66666666667)</f>
        <v>44592.66667</v>
      </c>
      <c r="B3040" s="1">
        <f>IFERROR(__xludf.DUMMYFUNCTION("""COMPUTED_VALUE"""),44.75)</f>
        <v>44.75</v>
      </c>
      <c r="C3040" s="1">
        <f>IFERROR(__xludf.DUMMYFUNCTION("""COMPUTED_VALUE"""),45.21)</f>
        <v>45.21</v>
      </c>
      <c r="D3040" s="1">
        <f>IFERROR(__xludf.DUMMYFUNCTION("""COMPUTED_VALUE"""),43.65)</f>
        <v>43.65</v>
      </c>
      <c r="E3040" s="1">
        <f>IFERROR(__xludf.DUMMYFUNCTION("""COMPUTED_VALUE"""),45.16)</f>
        <v>45.16</v>
      </c>
      <c r="F3040" s="1">
        <f>IFERROR(__xludf.DUMMYFUNCTION("""COMPUTED_VALUE"""),588016.0)</f>
        <v>588016</v>
      </c>
    </row>
    <row r="3041">
      <c r="A3041" s="2">
        <f>IFERROR(__xludf.DUMMYFUNCTION("""COMPUTED_VALUE"""),44593.66666666667)</f>
        <v>44593.66667</v>
      </c>
      <c r="B3041" s="1">
        <f>IFERROR(__xludf.DUMMYFUNCTION("""COMPUTED_VALUE"""),44.96)</f>
        <v>44.96</v>
      </c>
      <c r="C3041" s="1">
        <f>IFERROR(__xludf.DUMMYFUNCTION("""COMPUTED_VALUE"""),46.63)</f>
        <v>46.63</v>
      </c>
      <c r="D3041" s="1">
        <f>IFERROR(__xludf.DUMMYFUNCTION("""COMPUTED_VALUE"""),44.74)</f>
        <v>44.74</v>
      </c>
      <c r="E3041" s="1">
        <f>IFERROR(__xludf.DUMMYFUNCTION("""COMPUTED_VALUE"""),46.51)</f>
        <v>46.51</v>
      </c>
      <c r="F3041" s="1">
        <f>IFERROR(__xludf.DUMMYFUNCTION("""COMPUTED_VALUE"""),478452.0)</f>
        <v>478452</v>
      </c>
    </row>
    <row r="3042">
      <c r="A3042" s="2">
        <f>IFERROR(__xludf.DUMMYFUNCTION("""COMPUTED_VALUE"""),44594.66666666667)</f>
        <v>44594.66667</v>
      </c>
      <c r="B3042" s="1">
        <f>IFERROR(__xludf.DUMMYFUNCTION("""COMPUTED_VALUE"""),46.42)</f>
        <v>46.42</v>
      </c>
      <c r="C3042" s="1">
        <f>IFERROR(__xludf.DUMMYFUNCTION("""COMPUTED_VALUE"""),46.85)</f>
        <v>46.85</v>
      </c>
      <c r="D3042" s="1">
        <f>IFERROR(__xludf.DUMMYFUNCTION("""COMPUTED_VALUE"""),45.92)</f>
        <v>45.92</v>
      </c>
      <c r="E3042" s="1">
        <f>IFERROR(__xludf.DUMMYFUNCTION("""COMPUTED_VALUE"""),46.47)</f>
        <v>46.47</v>
      </c>
      <c r="F3042" s="1">
        <f>IFERROR(__xludf.DUMMYFUNCTION("""COMPUTED_VALUE"""),402577.0)</f>
        <v>402577</v>
      </c>
    </row>
    <row r="3043">
      <c r="A3043" s="2">
        <f>IFERROR(__xludf.DUMMYFUNCTION("""COMPUTED_VALUE"""),44595.66666666667)</f>
        <v>44595.66667</v>
      </c>
      <c r="B3043" s="1">
        <f>IFERROR(__xludf.DUMMYFUNCTION("""COMPUTED_VALUE"""),46.53)</f>
        <v>46.53</v>
      </c>
      <c r="C3043" s="1">
        <f>IFERROR(__xludf.DUMMYFUNCTION("""COMPUTED_VALUE"""),47.32)</f>
        <v>47.32</v>
      </c>
      <c r="D3043" s="1">
        <f>IFERROR(__xludf.DUMMYFUNCTION("""COMPUTED_VALUE"""),46.27)</f>
        <v>46.27</v>
      </c>
      <c r="E3043" s="1">
        <f>IFERROR(__xludf.DUMMYFUNCTION("""COMPUTED_VALUE"""),46.59)</f>
        <v>46.59</v>
      </c>
      <c r="F3043" s="1">
        <f>IFERROR(__xludf.DUMMYFUNCTION("""COMPUTED_VALUE"""),347261.0)</f>
        <v>347261</v>
      </c>
    </row>
    <row r="3044">
      <c r="A3044" s="2">
        <f>IFERROR(__xludf.DUMMYFUNCTION("""COMPUTED_VALUE"""),44596.66666666667)</f>
        <v>44596.66667</v>
      </c>
      <c r="B3044" s="1">
        <f>IFERROR(__xludf.DUMMYFUNCTION("""COMPUTED_VALUE"""),46.82)</f>
        <v>46.82</v>
      </c>
      <c r="C3044" s="1">
        <f>IFERROR(__xludf.DUMMYFUNCTION("""COMPUTED_VALUE"""),47.32)</f>
        <v>47.32</v>
      </c>
      <c r="D3044" s="1">
        <f>IFERROR(__xludf.DUMMYFUNCTION("""COMPUTED_VALUE"""),46.34)</f>
        <v>46.34</v>
      </c>
      <c r="E3044" s="1">
        <f>IFERROR(__xludf.DUMMYFUNCTION("""COMPUTED_VALUE"""),46.99)</f>
        <v>46.99</v>
      </c>
      <c r="F3044" s="1">
        <f>IFERROR(__xludf.DUMMYFUNCTION("""COMPUTED_VALUE"""),376623.0)</f>
        <v>376623</v>
      </c>
    </row>
    <row r="3045">
      <c r="A3045" s="2">
        <f>IFERROR(__xludf.DUMMYFUNCTION("""COMPUTED_VALUE"""),44599.66666666667)</f>
        <v>44599.66667</v>
      </c>
      <c r="B3045" s="1">
        <f>IFERROR(__xludf.DUMMYFUNCTION("""COMPUTED_VALUE"""),47.05)</f>
        <v>47.05</v>
      </c>
      <c r="C3045" s="1">
        <f>IFERROR(__xludf.DUMMYFUNCTION("""COMPUTED_VALUE"""),47.45)</f>
        <v>47.45</v>
      </c>
      <c r="D3045" s="1">
        <f>IFERROR(__xludf.DUMMYFUNCTION("""COMPUTED_VALUE"""),46.69)</f>
        <v>46.69</v>
      </c>
      <c r="E3045" s="1">
        <f>IFERROR(__xludf.DUMMYFUNCTION("""COMPUTED_VALUE"""),47.28)</f>
        <v>47.28</v>
      </c>
      <c r="F3045" s="1">
        <f>IFERROR(__xludf.DUMMYFUNCTION("""COMPUTED_VALUE"""),220212.0)</f>
        <v>220212</v>
      </c>
    </row>
    <row r="3046">
      <c r="A3046" s="2">
        <f>IFERROR(__xludf.DUMMYFUNCTION("""COMPUTED_VALUE"""),44600.66666666667)</f>
        <v>44600.66667</v>
      </c>
      <c r="B3046" s="1">
        <f>IFERROR(__xludf.DUMMYFUNCTION("""COMPUTED_VALUE"""),47.5)</f>
        <v>47.5</v>
      </c>
      <c r="C3046" s="1">
        <f>IFERROR(__xludf.DUMMYFUNCTION("""COMPUTED_VALUE"""),48.69)</f>
        <v>48.69</v>
      </c>
      <c r="D3046" s="1">
        <f>IFERROR(__xludf.DUMMYFUNCTION("""COMPUTED_VALUE"""),47.25)</f>
        <v>47.25</v>
      </c>
      <c r="E3046" s="1">
        <f>IFERROR(__xludf.DUMMYFUNCTION("""COMPUTED_VALUE"""),48.51)</f>
        <v>48.51</v>
      </c>
      <c r="F3046" s="1">
        <f>IFERROR(__xludf.DUMMYFUNCTION("""COMPUTED_VALUE"""),346905.0)</f>
        <v>346905</v>
      </c>
    </row>
    <row r="3047">
      <c r="A3047" s="2">
        <f>IFERROR(__xludf.DUMMYFUNCTION("""COMPUTED_VALUE"""),44601.66666666667)</f>
        <v>44601.66667</v>
      </c>
      <c r="B3047" s="1">
        <f>IFERROR(__xludf.DUMMYFUNCTION("""COMPUTED_VALUE"""),48.65)</f>
        <v>48.65</v>
      </c>
      <c r="C3047" s="1">
        <f>IFERROR(__xludf.DUMMYFUNCTION("""COMPUTED_VALUE"""),48.65)</f>
        <v>48.65</v>
      </c>
      <c r="D3047" s="1">
        <f>IFERROR(__xludf.DUMMYFUNCTION("""COMPUTED_VALUE"""),47.48)</f>
        <v>47.48</v>
      </c>
      <c r="E3047" s="1">
        <f>IFERROR(__xludf.DUMMYFUNCTION("""COMPUTED_VALUE"""),47.62)</f>
        <v>47.62</v>
      </c>
      <c r="F3047" s="1">
        <f>IFERROR(__xludf.DUMMYFUNCTION("""COMPUTED_VALUE"""),357565.0)</f>
        <v>357565</v>
      </c>
    </row>
    <row r="3048">
      <c r="A3048" s="2">
        <f>IFERROR(__xludf.DUMMYFUNCTION("""COMPUTED_VALUE"""),44602.66666666667)</f>
        <v>44602.66667</v>
      </c>
      <c r="B3048" s="1">
        <f>IFERROR(__xludf.DUMMYFUNCTION("""COMPUTED_VALUE"""),47.63)</f>
        <v>47.63</v>
      </c>
      <c r="C3048" s="1">
        <f>IFERROR(__xludf.DUMMYFUNCTION("""COMPUTED_VALUE"""),48.66)</f>
        <v>48.66</v>
      </c>
      <c r="D3048" s="1">
        <f>IFERROR(__xludf.DUMMYFUNCTION("""COMPUTED_VALUE"""),47.63)</f>
        <v>47.63</v>
      </c>
      <c r="E3048" s="1">
        <f>IFERROR(__xludf.DUMMYFUNCTION("""COMPUTED_VALUE"""),47.88)</f>
        <v>47.88</v>
      </c>
      <c r="F3048" s="1">
        <f>IFERROR(__xludf.DUMMYFUNCTION("""COMPUTED_VALUE"""),395293.0)</f>
        <v>395293</v>
      </c>
    </row>
    <row r="3049">
      <c r="A3049" s="2">
        <f>IFERROR(__xludf.DUMMYFUNCTION("""COMPUTED_VALUE"""),44603.66666666667)</f>
        <v>44603.66667</v>
      </c>
      <c r="B3049" s="1">
        <f>IFERROR(__xludf.DUMMYFUNCTION("""COMPUTED_VALUE"""),47.54)</f>
        <v>47.54</v>
      </c>
      <c r="C3049" s="1">
        <f>IFERROR(__xludf.DUMMYFUNCTION("""COMPUTED_VALUE"""),48.72)</f>
        <v>48.72</v>
      </c>
      <c r="D3049" s="1">
        <f>IFERROR(__xludf.DUMMYFUNCTION("""COMPUTED_VALUE"""),47.27)</f>
        <v>47.27</v>
      </c>
      <c r="E3049" s="1">
        <f>IFERROR(__xludf.DUMMYFUNCTION("""COMPUTED_VALUE"""),47.58)</f>
        <v>47.58</v>
      </c>
      <c r="F3049" s="1">
        <f>IFERROR(__xludf.DUMMYFUNCTION("""COMPUTED_VALUE"""),294692.0)</f>
        <v>294692</v>
      </c>
    </row>
    <row r="3050">
      <c r="A3050" s="2">
        <f>IFERROR(__xludf.DUMMYFUNCTION("""COMPUTED_VALUE"""),44606.66666666667)</f>
        <v>44606.66667</v>
      </c>
      <c r="B3050" s="1">
        <f>IFERROR(__xludf.DUMMYFUNCTION("""COMPUTED_VALUE"""),47.79)</f>
        <v>47.79</v>
      </c>
      <c r="C3050" s="1">
        <f>IFERROR(__xludf.DUMMYFUNCTION("""COMPUTED_VALUE"""),48.16)</f>
        <v>48.16</v>
      </c>
      <c r="D3050" s="1">
        <f>IFERROR(__xludf.DUMMYFUNCTION("""COMPUTED_VALUE"""),46.89)</f>
        <v>46.89</v>
      </c>
      <c r="E3050" s="1">
        <f>IFERROR(__xludf.DUMMYFUNCTION("""COMPUTED_VALUE"""),47.23)</f>
        <v>47.23</v>
      </c>
      <c r="F3050" s="1">
        <f>IFERROR(__xludf.DUMMYFUNCTION("""COMPUTED_VALUE"""),334152.0)</f>
        <v>334152</v>
      </c>
    </row>
    <row r="3051">
      <c r="A3051" s="2">
        <f>IFERROR(__xludf.DUMMYFUNCTION("""COMPUTED_VALUE"""),44607.66666666667)</f>
        <v>44607.66667</v>
      </c>
      <c r="B3051" s="1">
        <f>IFERROR(__xludf.DUMMYFUNCTION("""COMPUTED_VALUE"""),47.74)</f>
        <v>47.74</v>
      </c>
      <c r="C3051" s="1">
        <f>IFERROR(__xludf.DUMMYFUNCTION("""COMPUTED_VALUE"""),48.54)</f>
        <v>48.54</v>
      </c>
      <c r="D3051" s="1">
        <f>IFERROR(__xludf.DUMMYFUNCTION("""COMPUTED_VALUE"""),47.62)</f>
        <v>47.62</v>
      </c>
      <c r="E3051" s="1">
        <f>IFERROR(__xludf.DUMMYFUNCTION("""COMPUTED_VALUE"""),48.47)</f>
        <v>48.47</v>
      </c>
      <c r="F3051" s="1">
        <f>IFERROR(__xludf.DUMMYFUNCTION("""COMPUTED_VALUE"""),376214.0)</f>
        <v>376214</v>
      </c>
    </row>
    <row r="3052">
      <c r="A3052" s="2">
        <f>IFERROR(__xludf.DUMMYFUNCTION("""COMPUTED_VALUE"""),44608.66666666667)</f>
        <v>44608.66667</v>
      </c>
      <c r="B3052" s="1">
        <f>IFERROR(__xludf.DUMMYFUNCTION("""COMPUTED_VALUE"""),48.0)</f>
        <v>48</v>
      </c>
      <c r="C3052" s="1">
        <f>IFERROR(__xludf.DUMMYFUNCTION("""COMPUTED_VALUE"""),48.88)</f>
        <v>48.88</v>
      </c>
      <c r="D3052" s="1">
        <f>IFERROR(__xludf.DUMMYFUNCTION("""COMPUTED_VALUE"""),47.82)</f>
        <v>47.82</v>
      </c>
      <c r="E3052" s="1">
        <f>IFERROR(__xludf.DUMMYFUNCTION("""COMPUTED_VALUE"""),48.68)</f>
        <v>48.68</v>
      </c>
      <c r="F3052" s="1">
        <f>IFERROR(__xludf.DUMMYFUNCTION("""COMPUTED_VALUE"""),260509.0)</f>
        <v>260509</v>
      </c>
    </row>
    <row r="3053">
      <c r="A3053" s="2">
        <f>IFERROR(__xludf.DUMMYFUNCTION("""COMPUTED_VALUE"""),44609.66666666667)</f>
        <v>44609.66667</v>
      </c>
      <c r="B3053" s="1">
        <f>IFERROR(__xludf.DUMMYFUNCTION("""COMPUTED_VALUE"""),48.31)</f>
        <v>48.31</v>
      </c>
      <c r="C3053" s="1">
        <f>IFERROR(__xludf.DUMMYFUNCTION("""COMPUTED_VALUE"""),48.31)</f>
        <v>48.31</v>
      </c>
      <c r="D3053" s="1">
        <f>IFERROR(__xludf.DUMMYFUNCTION("""COMPUTED_VALUE"""),47.55)</f>
        <v>47.55</v>
      </c>
      <c r="E3053" s="1">
        <f>IFERROR(__xludf.DUMMYFUNCTION("""COMPUTED_VALUE"""),47.61)</f>
        <v>47.61</v>
      </c>
      <c r="F3053" s="1">
        <f>IFERROR(__xludf.DUMMYFUNCTION("""COMPUTED_VALUE"""),361183.0)</f>
        <v>361183</v>
      </c>
    </row>
    <row r="3054">
      <c r="A3054" s="2">
        <f>IFERROR(__xludf.DUMMYFUNCTION("""COMPUTED_VALUE"""),44610.66666666667)</f>
        <v>44610.66667</v>
      </c>
      <c r="B3054" s="1">
        <f>IFERROR(__xludf.DUMMYFUNCTION("""COMPUTED_VALUE"""),47.42)</f>
        <v>47.42</v>
      </c>
      <c r="C3054" s="1">
        <f>IFERROR(__xludf.DUMMYFUNCTION("""COMPUTED_VALUE"""),48.6)</f>
        <v>48.6</v>
      </c>
      <c r="D3054" s="1">
        <f>IFERROR(__xludf.DUMMYFUNCTION("""COMPUTED_VALUE"""),47.42)</f>
        <v>47.42</v>
      </c>
      <c r="E3054" s="1">
        <f>IFERROR(__xludf.DUMMYFUNCTION("""COMPUTED_VALUE"""),48.07)</f>
        <v>48.07</v>
      </c>
      <c r="F3054" s="1">
        <f>IFERROR(__xludf.DUMMYFUNCTION("""COMPUTED_VALUE"""),287242.0)</f>
        <v>287242</v>
      </c>
    </row>
    <row r="3055">
      <c r="A3055" s="2">
        <f>IFERROR(__xludf.DUMMYFUNCTION("""COMPUTED_VALUE"""),44614.66666666667)</f>
        <v>44614.66667</v>
      </c>
      <c r="B3055" s="1">
        <f>IFERROR(__xludf.DUMMYFUNCTION("""COMPUTED_VALUE"""),48.07)</f>
        <v>48.07</v>
      </c>
      <c r="C3055" s="1">
        <f>IFERROR(__xludf.DUMMYFUNCTION("""COMPUTED_VALUE"""),48.22)</f>
        <v>48.22</v>
      </c>
      <c r="D3055" s="1">
        <f>IFERROR(__xludf.DUMMYFUNCTION("""COMPUTED_VALUE"""),47.23)</f>
        <v>47.23</v>
      </c>
      <c r="E3055" s="1">
        <f>IFERROR(__xludf.DUMMYFUNCTION("""COMPUTED_VALUE"""),47.45)</f>
        <v>47.45</v>
      </c>
      <c r="F3055" s="1">
        <f>IFERROR(__xludf.DUMMYFUNCTION("""COMPUTED_VALUE"""),326956.0)</f>
        <v>326956</v>
      </c>
    </row>
    <row r="3056">
      <c r="A3056" s="2">
        <f>IFERROR(__xludf.DUMMYFUNCTION("""COMPUTED_VALUE"""),44615.66666666667)</f>
        <v>44615.66667</v>
      </c>
      <c r="B3056" s="1">
        <f>IFERROR(__xludf.DUMMYFUNCTION("""COMPUTED_VALUE"""),47.65)</f>
        <v>47.65</v>
      </c>
      <c r="C3056" s="1">
        <f>IFERROR(__xludf.DUMMYFUNCTION("""COMPUTED_VALUE"""),48.17)</f>
        <v>48.17</v>
      </c>
      <c r="D3056" s="1">
        <f>IFERROR(__xludf.DUMMYFUNCTION("""COMPUTED_VALUE"""),46.54)</f>
        <v>46.54</v>
      </c>
      <c r="E3056" s="1">
        <f>IFERROR(__xludf.DUMMYFUNCTION("""COMPUTED_VALUE"""),46.74)</f>
        <v>46.74</v>
      </c>
      <c r="F3056" s="1">
        <f>IFERROR(__xludf.DUMMYFUNCTION("""COMPUTED_VALUE"""),262706.0)</f>
        <v>262706</v>
      </c>
    </row>
    <row r="3057">
      <c r="A3057" s="2">
        <f>IFERROR(__xludf.DUMMYFUNCTION("""COMPUTED_VALUE"""),44616.66666666667)</f>
        <v>44616.66667</v>
      </c>
      <c r="B3057" s="1">
        <f>IFERROR(__xludf.DUMMYFUNCTION("""COMPUTED_VALUE"""),45.16)</f>
        <v>45.16</v>
      </c>
      <c r="C3057" s="1">
        <f>IFERROR(__xludf.DUMMYFUNCTION("""COMPUTED_VALUE"""),45.58)</f>
        <v>45.58</v>
      </c>
      <c r="D3057" s="1">
        <f>IFERROR(__xludf.DUMMYFUNCTION("""COMPUTED_VALUE"""),43.92)</f>
        <v>43.92</v>
      </c>
      <c r="E3057" s="1">
        <f>IFERROR(__xludf.DUMMYFUNCTION("""COMPUTED_VALUE"""),45.39)</f>
        <v>45.39</v>
      </c>
      <c r="F3057" s="1">
        <f>IFERROR(__xludf.DUMMYFUNCTION("""COMPUTED_VALUE"""),381912.0)</f>
        <v>381912</v>
      </c>
    </row>
    <row r="3058">
      <c r="A3058" s="2">
        <f>IFERROR(__xludf.DUMMYFUNCTION("""COMPUTED_VALUE"""),44617.66666666667)</f>
        <v>44617.66667</v>
      </c>
      <c r="B3058" s="1">
        <f>IFERROR(__xludf.DUMMYFUNCTION("""COMPUTED_VALUE"""),45.74)</f>
        <v>45.74</v>
      </c>
      <c r="C3058" s="1">
        <f>IFERROR(__xludf.DUMMYFUNCTION("""COMPUTED_VALUE"""),47.3)</f>
        <v>47.3</v>
      </c>
      <c r="D3058" s="1">
        <f>IFERROR(__xludf.DUMMYFUNCTION("""COMPUTED_VALUE"""),45.74)</f>
        <v>45.74</v>
      </c>
      <c r="E3058" s="1">
        <f>IFERROR(__xludf.DUMMYFUNCTION("""COMPUTED_VALUE"""),47.19)</f>
        <v>47.19</v>
      </c>
      <c r="F3058" s="1">
        <f>IFERROR(__xludf.DUMMYFUNCTION("""COMPUTED_VALUE"""),282374.0)</f>
        <v>282374</v>
      </c>
    </row>
    <row r="3059">
      <c r="A3059" s="2">
        <f>IFERROR(__xludf.DUMMYFUNCTION("""COMPUTED_VALUE"""),44620.66666666667)</f>
        <v>44620.66667</v>
      </c>
      <c r="B3059" s="1">
        <f>IFERROR(__xludf.DUMMYFUNCTION("""COMPUTED_VALUE"""),46.09)</f>
        <v>46.09</v>
      </c>
      <c r="C3059" s="1">
        <f>IFERROR(__xludf.DUMMYFUNCTION("""COMPUTED_VALUE"""),47.18)</f>
        <v>47.18</v>
      </c>
      <c r="D3059" s="1">
        <f>IFERROR(__xludf.DUMMYFUNCTION("""COMPUTED_VALUE"""),46.0)</f>
        <v>46</v>
      </c>
      <c r="E3059" s="1">
        <f>IFERROR(__xludf.DUMMYFUNCTION("""COMPUTED_VALUE"""),47.03)</f>
        <v>47.03</v>
      </c>
      <c r="F3059" s="1">
        <f>IFERROR(__xludf.DUMMYFUNCTION("""COMPUTED_VALUE"""),342475.0)</f>
        <v>342475</v>
      </c>
    </row>
    <row r="3060">
      <c r="A3060" s="2">
        <f>IFERROR(__xludf.DUMMYFUNCTION("""COMPUTED_VALUE"""),44621.66666666667)</f>
        <v>44621.66667</v>
      </c>
      <c r="B3060" s="1">
        <f>IFERROR(__xludf.DUMMYFUNCTION("""COMPUTED_VALUE"""),46.74)</f>
        <v>46.74</v>
      </c>
      <c r="C3060" s="1">
        <f>IFERROR(__xludf.DUMMYFUNCTION("""COMPUTED_VALUE"""),46.89)</f>
        <v>46.89</v>
      </c>
      <c r="D3060" s="1">
        <f>IFERROR(__xludf.DUMMYFUNCTION("""COMPUTED_VALUE"""),44.71)</f>
        <v>44.71</v>
      </c>
      <c r="E3060" s="1">
        <f>IFERROR(__xludf.DUMMYFUNCTION("""COMPUTED_VALUE"""),45.36)</f>
        <v>45.36</v>
      </c>
      <c r="F3060" s="1">
        <f>IFERROR(__xludf.DUMMYFUNCTION("""COMPUTED_VALUE"""),420079.0)</f>
        <v>420079</v>
      </c>
    </row>
    <row r="3061">
      <c r="A3061" s="2">
        <f>IFERROR(__xludf.DUMMYFUNCTION("""COMPUTED_VALUE"""),44622.66666666667)</f>
        <v>44622.66667</v>
      </c>
      <c r="B3061" s="1">
        <f>IFERROR(__xludf.DUMMYFUNCTION("""COMPUTED_VALUE"""),45.85)</f>
        <v>45.85</v>
      </c>
      <c r="C3061" s="1">
        <f>IFERROR(__xludf.DUMMYFUNCTION("""COMPUTED_VALUE"""),47.57)</f>
        <v>47.57</v>
      </c>
      <c r="D3061" s="1">
        <f>IFERROR(__xludf.DUMMYFUNCTION("""COMPUTED_VALUE"""),45.76)</f>
        <v>45.76</v>
      </c>
      <c r="E3061" s="1">
        <f>IFERROR(__xludf.DUMMYFUNCTION("""COMPUTED_VALUE"""),47.19)</f>
        <v>47.19</v>
      </c>
      <c r="F3061" s="1">
        <f>IFERROR(__xludf.DUMMYFUNCTION("""COMPUTED_VALUE"""),262473.0)</f>
        <v>262473</v>
      </c>
    </row>
    <row r="3062">
      <c r="A3062" s="2">
        <f>IFERROR(__xludf.DUMMYFUNCTION("""COMPUTED_VALUE"""),44623.66666666667)</f>
        <v>44623.66667</v>
      </c>
      <c r="B3062" s="1">
        <f>IFERROR(__xludf.DUMMYFUNCTION("""COMPUTED_VALUE"""),47.36)</f>
        <v>47.36</v>
      </c>
      <c r="C3062" s="1">
        <f>IFERROR(__xludf.DUMMYFUNCTION("""COMPUTED_VALUE"""),47.57)</f>
        <v>47.57</v>
      </c>
      <c r="D3062" s="1">
        <f>IFERROR(__xludf.DUMMYFUNCTION("""COMPUTED_VALUE"""),46.21)</f>
        <v>46.21</v>
      </c>
      <c r="E3062" s="1">
        <f>IFERROR(__xludf.DUMMYFUNCTION("""COMPUTED_VALUE"""),46.54)</f>
        <v>46.54</v>
      </c>
      <c r="F3062" s="1">
        <f>IFERROR(__xludf.DUMMYFUNCTION("""COMPUTED_VALUE"""),339519.0)</f>
        <v>339519</v>
      </c>
    </row>
    <row r="3063">
      <c r="A3063" s="2">
        <f>IFERROR(__xludf.DUMMYFUNCTION("""COMPUTED_VALUE"""),44624.66666666667)</f>
        <v>44624.66667</v>
      </c>
      <c r="B3063" s="1">
        <f>IFERROR(__xludf.DUMMYFUNCTION("""COMPUTED_VALUE"""),45.65)</f>
        <v>45.65</v>
      </c>
      <c r="C3063" s="1">
        <f>IFERROR(__xludf.DUMMYFUNCTION("""COMPUTED_VALUE"""),46.0)</f>
        <v>46</v>
      </c>
      <c r="D3063" s="1">
        <f>IFERROR(__xludf.DUMMYFUNCTION("""COMPUTED_VALUE"""),43.98)</f>
        <v>43.98</v>
      </c>
      <c r="E3063" s="1">
        <f>IFERROR(__xludf.DUMMYFUNCTION("""COMPUTED_VALUE"""),44.58)</f>
        <v>44.58</v>
      </c>
      <c r="F3063" s="1">
        <f>IFERROR(__xludf.DUMMYFUNCTION("""COMPUTED_VALUE"""),447498.0)</f>
        <v>447498</v>
      </c>
    </row>
    <row r="3064">
      <c r="A3064" s="2">
        <f>IFERROR(__xludf.DUMMYFUNCTION("""COMPUTED_VALUE"""),44627.66666666667)</f>
        <v>44627.66667</v>
      </c>
      <c r="B3064" s="1">
        <f>IFERROR(__xludf.DUMMYFUNCTION("""COMPUTED_VALUE"""),44.25)</f>
        <v>44.25</v>
      </c>
      <c r="C3064" s="1">
        <f>IFERROR(__xludf.DUMMYFUNCTION("""COMPUTED_VALUE"""),44.89)</f>
        <v>44.89</v>
      </c>
      <c r="D3064" s="1">
        <f>IFERROR(__xludf.DUMMYFUNCTION("""COMPUTED_VALUE"""),43.32)</f>
        <v>43.32</v>
      </c>
      <c r="E3064" s="1">
        <f>IFERROR(__xludf.DUMMYFUNCTION("""COMPUTED_VALUE"""),43.37)</f>
        <v>43.37</v>
      </c>
      <c r="F3064" s="1">
        <f>IFERROR(__xludf.DUMMYFUNCTION("""COMPUTED_VALUE"""),462323.0)</f>
        <v>462323</v>
      </c>
    </row>
    <row r="3065">
      <c r="A3065" s="2">
        <f>IFERROR(__xludf.DUMMYFUNCTION("""COMPUTED_VALUE"""),44628.66666666667)</f>
        <v>44628.66667</v>
      </c>
      <c r="B3065" s="1">
        <f>IFERROR(__xludf.DUMMYFUNCTION("""COMPUTED_VALUE"""),44.27)</f>
        <v>44.27</v>
      </c>
      <c r="C3065" s="1">
        <f>IFERROR(__xludf.DUMMYFUNCTION("""COMPUTED_VALUE"""),45.22)</f>
        <v>45.22</v>
      </c>
      <c r="D3065" s="1">
        <f>IFERROR(__xludf.DUMMYFUNCTION("""COMPUTED_VALUE"""),43.48)</f>
        <v>43.48</v>
      </c>
      <c r="E3065" s="1">
        <f>IFERROR(__xludf.DUMMYFUNCTION("""COMPUTED_VALUE"""),44.36)</f>
        <v>44.36</v>
      </c>
      <c r="F3065" s="1">
        <f>IFERROR(__xludf.DUMMYFUNCTION("""COMPUTED_VALUE"""),456205.0)</f>
        <v>456205</v>
      </c>
    </row>
    <row r="3066">
      <c r="A3066" s="2">
        <f>IFERROR(__xludf.DUMMYFUNCTION("""COMPUTED_VALUE"""),44629.66666666667)</f>
        <v>44629.66667</v>
      </c>
      <c r="B3066" s="1">
        <f>IFERROR(__xludf.DUMMYFUNCTION("""COMPUTED_VALUE"""),45.51)</f>
        <v>45.51</v>
      </c>
      <c r="C3066" s="1">
        <f>IFERROR(__xludf.DUMMYFUNCTION("""COMPUTED_VALUE"""),46.1)</f>
        <v>46.1</v>
      </c>
      <c r="D3066" s="1">
        <f>IFERROR(__xludf.DUMMYFUNCTION("""COMPUTED_VALUE"""),44.68)</f>
        <v>44.68</v>
      </c>
      <c r="E3066" s="1">
        <f>IFERROR(__xludf.DUMMYFUNCTION("""COMPUTED_VALUE"""),44.77)</f>
        <v>44.77</v>
      </c>
      <c r="F3066" s="1">
        <f>IFERROR(__xludf.DUMMYFUNCTION("""COMPUTED_VALUE"""),324341.0)</f>
        <v>324341</v>
      </c>
    </row>
    <row r="3067">
      <c r="A3067" s="2">
        <f>IFERROR(__xludf.DUMMYFUNCTION("""COMPUTED_VALUE"""),44630.66666666667)</f>
        <v>44630.66667</v>
      </c>
      <c r="B3067" s="1">
        <f>IFERROR(__xludf.DUMMYFUNCTION("""COMPUTED_VALUE"""),44.31)</f>
        <v>44.31</v>
      </c>
      <c r="C3067" s="1">
        <f>IFERROR(__xludf.DUMMYFUNCTION("""COMPUTED_VALUE"""),45.06)</f>
        <v>45.06</v>
      </c>
      <c r="D3067" s="1">
        <f>IFERROR(__xludf.DUMMYFUNCTION("""COMPUTED_VALUE"""),44.28)</f>
        <v>44.28</v>
      </c>
      <c r="E3067" s="1">
        <f>IFERROR(__xludf.DUMMYFUNCTION("""COMPUTED_VALUE"""),44.99)</f>
        <v>44.99</v>
      </c>
      <c r="F3067" s="1">
        <f>IFERROR(__xludf.DUMMYFUNCTION("""COMPUTED_VALUE"""),287483.0)</f>
        <v>287483</v>
      </c>
    </row>
    <row r="3068">
      <c r="A3068" s="2">
        <f>IFERROR(__xludf.DUMMYFUNCTION("""COMPUTED_VALUE"""),44631.66666666667)</f>
        <v>44631.66667</v>
      </c>
      <c r="B3068" s="1">
        <f>IFERROR(__xludf.DUMMYFUNCTION("""COMPUTED_VALUE"""),45.32)</f>
        <v>45.32</v>
      </c>
      <c r="C3068" s="1">
        <f>IFERROR(__xludf.DUMMYFUNCTION("""COMPUTED_VALUE"""),45.97)</f>
        <v>45.97</v>
      </c>
      <c r="D3068" s="1">
        <f>IFERROR(__xludf.DUMMYFUNCTION("""COMPUTED_VALUE"""),45.18)</f>
        <v>45.18</v>
      </c>
      <c r="E3068" s="1">
        <f>IFERROR(__xludf.DUMMYFUNCTION("""COMPUTED_VALUE"""),45.26)</f>
        <v>45.26</v>
      </c>
      <c r="F3068" s="1">
        <f>IFERROR(__xludf.DUMMYFUNCTION("""COMPUTED_VALUE"""),318127.0)</f>
        <v>318127</v>
      </c>
    </row>
    <row r="3069">
      <c r="A3069" s="2">
        <f>IFERROR(__xludf.DUMMYFUNCTION("""COMPUTED_VALUE"""),44634.66666666667)</f>
        <v>44634.66667</v>
      </c>
      <c r="B3069" s="1">
        <f>IFERROR(__xludf.DUMMYFUNCTION("""COMPUTED_VALUE"""),45.86)</f>
        <v>45.86</v>
      </c>
      <c r="C3069" s="1">
        <f>IFERROR(__xludf.DUMMYFUNCTION("""COMPUTED_VALUE"""),46.18)</f>
        <v>46.18</v>
      </c>
      <c r="D3069" s="1">
        <f>IFERROR(__xludf.DUMMYFUNCTION("""COMPUTED_VALUE"""),44.86)</f>
        <v>44.86</v>
      </c>
      <c r="E3069" s="1">
        <f>IFERROR(__xludf.DUMMYFUNCTION("""COMPUTED_VALUE"""),45.17)</f>
        <v>45.17</v>
      </c>
      <c r="F3069" s="1">
        <f>IFERROR(__xludf.DUMMYFUNCTION("""COMPUTED_VALUE"""),289357.0)</f>
        <v>289357</v>
      </c>
    </row>
    <row r="3070">
      <c r="A3070" s="2">
        <f>IFERROR(__xludf.DUMMYFUNCTION("""COMPUTED_VALUE"""),44635.66666666667)</f>
        <v>44635.66667</v>
      </c>
      <c r="B3070" s="1">
        <f>IFERROR(__xludf.DUMMYFUNCTION("""COMPUTED_VALUE"""),45.38)</f>
        <v>45.38</v>
      </c>
      <c r="C3070" s="1">
        <f>IFERROR(__xludf.DUMMYFUNCTION("""COMPUTED_VALUE"""),46.0)</f>
        <v>46</v>
      </c>
      <c r="D3070" s="1">
        <f>IFERROR(__xludf.DUMMYFUNCTION("""COMPUTED_VALUE"""),44.43)</f>
        <v>44.43</v>
      </c>
      <c r="E3070" s="1">
        <f>IFERROR(__xludf.DUMMYFUNCTION("""COMPUTED_VALUE"""),45.07)</f>
        <v>45.07</v>
      </c>
      <c r="F3070" s="1">
        <f>IFERROR(__xludf.DUMMYFUNCTION("""COMPUTED_VALUE"""),262952.0)</f>
        <v>262952</v>
      </c>
    </row>
    <row r="3071">
      <c r="A3071" s="2">
        <f>IFERROR(__xludf.DUMMYFUNCTION("""COMPUTED_VALUE"""),44636.66666666667)</f>
        <v>44636.66667</v>
      </c>
      <c r="B3071" s="1">
        <f>IFERROR(__xludf.DUMMYFUNCTION("""COMPUTED_VALUE"""),45.62)</f>
        <v>45.62</v>
      </c>
      <c r="C3071" s="1">
        <f>IFERROR(__xludf.DUMMYFUNCTION("""COMPUTED_VALUE"""),46.91)</f>
        <v>46.91</v>
      </c>
      <c r="D3071" s="1">
        <f>IFERROR(__xludf.DUMMYFUNCTION("""COMPUTED_VALUE"""),45.27)</f>
        <v>45.27</v>
      </c>
      <c r="E3071" s="1">
        <f>IFERROR(__xludf.DUMMYFUNCTION("""COMPUTED_VALUE"""),46.85)</f>
        <v>46.85</v>
      </c>
      <c r="F3071" s="1">
        <f>IFERROR(__xludf.DUMMYFUNCTION("""COMPUTED_VALUE"""),421858.0)</f>
        <v>421858</v>
      </c>
    </row>
    <row r="3072">
      <c r="A3072" s="2">
        <f>IFERROR(__xludf.DUMMYFUNCTION("""COMPUTED_VALUE"""),44637.66666666667)</f>
        <v>44637.66667</v>
      </c>
      <c r="B3072" s="1">
        <f>IFERROR(__xludf.DUMMYFUNCTION("""COMPUTED_VALUE"""),46.32)</f>
        <v>46.32</v>
      </c>
      <c r="C3072" s="1">
        <f>IFERROR(__xludf.DUMMYFUNCTION("""COMPUTED_VALUE"""),46.78)</f>
        <v>46.78</v>
      </c>
      <c r="D3072" s="1">
        <f>IFERROR(__xludf.DUMMYFUNCTION("""COMPUTED_VALUE"""),45.59)</f>
        <v>45.59</v>
      </c>
      <c r="E3072" s="1">
        <f>IFERROR(__xludf.DUMMYFUNCTION("""COMPUTED_VALUE"""),46.62)</f>
        <v>46.62</v>
      </c>
      <c r="F3072" s="1">
        <f>IFERROR(__xludf.DUMMYFUNCTION("""COMPUTED_VALUE"""),380144.0)</f>
        <v>380144</v>
      </c>
    </row>
    <row r="3073">
      <c r="A3073" s="2">
        <f>IFERROR(__xludf.DUMMYFUNCTION("""COMPUTED_VALUE"""),44638.66666666667)</f>
        <v>44638.66667</v>
      </c>
      <c r="B3073" s="1">
        <f>IFERROR(__xludf.DUMMYFUNCTION("""COMPUTED_VALUE"""),46.96)</f>
        <v>46.96</v>
      </c>
      <c r="C3073" s="1">
        <f>IFERROR(__xludf.DUMMYFUNCTION("""COMPUTED_VALUE"""),46.96)</f>
        <v>46.96</v>
      </c>
      <c r="D3073" s="1">
        <f>IFERROR(__xludf.DUMMYFUNCTION("""COMPUTED_VALUE"""),45.6)</f>
        <v>45.6</v>
      </c>
      <c r="E3073" s="1">
        <f>IFERROR(__xludf.DUMMYFUNCTION("""COMPUTED_VALUE"""),46.61)</f>
        <v>46.61</v>
      </c>
      <c r="F3073" s="1">
        <f>IFERROR(__xludf.DUMMYFUNCTION("""COMPUTED_VALUE"""),1316920.0)</f>
        <v>1316920</v>
      </c>
    </row>
    <row r="3074">
      <c r="A3074" s="2">
        <f>IFERROR(__xludf.DUMMYFUNCTION("""COMPUTED_VALUE"""),44641.66666666667)</f>
        <v>44641.66667</v>
      </c>
      <c r="B3074" s="1">
        <f>IFERROR(__xludf.DUMMYFUNCTION("""COMPUTED_VALUE"""),46.71)</f>
        <v>46.71</v>
      </c>
      <c r="C3074" s="1">
        <f>IFERROR(__xludf.DUMMYFUNCTION("""COMPUTED_VALUE"""),47.03)</f>
        <v>47.03</v>
      </c>
      <c r="D3074" s="1">
        <f>IFERROR(__xludf.DUMMYFUNCTION("""COMPUTED_VALUE"""),45.92)</f>
        <v>45.92</v>
      </c>
      <c r="E3074" s="1">
        <f>IFERROR(__xludf.DUMMYFUNCTION("""COMPUTED_VALUE"""),46.59)</f>
        <v>46.59</v>
      </c>
      <c r="F3074" s="1">
        <f>IFERROR(__xludf.DUMMYFUNCTION("""COMPUTED_VALUE"""),299589.0)</f>
        <v>299589</v>
      </c>
    </row>
    <row r="3075">
      <c r="A3075" s="2">
        <f>IFERROR(__xludf.DUMMYFUNCTION("""COMPUTED_VALUE"""),44642.66666666667)</f>
        <v>44642.66667</v>
      </c>
      <c r="B3075" s="1">
        <f>IFERROR(__xludf.DUMMYFUNCTION("""COMPUTED_VALUE"""),47.0)</f>
        <v>47</v>
      </c>
      <c r="C3075" s="1">
        <f>IFERROR(__xludf.DUMMYFUNCTION("""COMPUTED_VALUE"""),47.49)</f>
        <v>47.49</v>
      </c>
      <c r="D3075" s="1">
        <f>IFERROR(__xludf.DUMMYFUNCTION("""COMPUTED_VALUE"""),46.82)</f>
        <v>46.82</v>
      </c>
      <c r="E3075" s="1">
        <f>IFERROR(__xludf.DUMMYFUNCTION("""COMPUTED_VALUE"""),47.24)</f>
        <v>47.24</v>
      </c>
      <c r="F3075" s="1">
        <f>IFERROR(__xludf.DUMMYFUNCTION("""COMPUTED_VALUE"""),255546.0)</f>
        <v>255546</v>
      </c>
    </row>
    <row r="3076">
      <c r="A3076" s="2">
        <f>IFERROR(__xludf.DUMMYFUNCTION("""COMPUTED_VALUE"""),44643.66666666667)</f>
        <v>44643.66667</v>
      </c>
      <c r="B3076" s="1">
        <f>IFERROR(__xludf.DUMMYFUNCTION("""COMPUTED_VALUE"""),46.85)</f>
        <v>46.85</v>
      </c>
      <c r="C3076" s="1">
        <f>IFERROR(__xludf.DUMMYFUNCTION("""COMPUTED_VALUE"""),46.85)</f>
        <v>46.85</v>
      </c>
      <c r="D3076" s="1">
        <f>IFERROR(__xludf.DUMMYFUNCTION("""COMPUTED_VALUE"""),45.34)</f>
        <v>45.34</v>
      </c>
      <c r="E3076" s="1">
        <f>IFERROR(__xludf.DUMMYFUNCTION("""COMPUTED_VALUE"""),45.4)</f>
        <v>45.4</v>
      </c>
      <c r="F3076" s="1">
        <f>IFERROR(__xludf.DUMMYFUNCTION("""COMPUTED_VALUE"""),217646.0)</f>
        <v>217646</v>
      </c>
    </row>
    <row r="3077">
      <c r="A3077" s="2">
        <f>IFERROR(__xludf.DUMMYFUNCTION("""COMPUTED_VALUE"""),44644.66666666667)</f>
        <v>44644.66667</v>
      </c>
      <c r="B3077" s="1">
        <f>IFERROR(__xludf.DUMMYFUNCTION("""COMPUTED_VALUE"""),45.71)</f>
        <v>45.71</v>
      </c>
      <c r="C3077" s="1">
        <f>IFERROR(__xludf.DUMMYFUNCTION("""COMPUTED_VALUE"""),45.97)</f>
        <v>45.97</v>
      </c>
      <c r="D3077" s="1">
        <f>IFERROR(__xludf.DUMMYFUNCTION("""COMPUTED_VALUE"""),45.1)</f>
        <v>45.1</v>
      </c>
      <c r="E3077" s="1">
        <f>IFERROR(__xludf.DUMMYFUNCTION("""COMPUTED_VALUE"""),45.71)</f>
        <v>45.71</v>
      </c>
      <c r="F3077" s="1">
        <f>IFERROR(__xludf.DUMMYFUNCTION("""COMPUTED_VALUE"""),255819.0)</f>
        <v>255819</v>
      </c>
    </row>
    <row r="3078">
      <c r="A3078" s="2">
        <f>IFERROR(__xludf.DUMMYFUNCTION("""COMPUTED_VALUE"""),44645.66666666667)</f>
        <v>44645.66667</v>
      </c>
      <c r="B3078" s="1">
        <f>IFERROR(__xludf.DUMMYFUNCTION("""COMPUTED_VALUE"""),45.94)</f>
        <v>45.94</v>
      </c>
      <c r="C3078" s="1">
        <f>IFERROR(__xludf.DUMMYFUNCTION("""COMPUTED_VALUE"""),46.91)</f>
        <v>46.91</v>
      </c>
      <c r="D3078" s="1">
        <f>IFERROR(__xludf.DUMMYFUNCTION("""COMPUTED_VALUE"""),45.01)</f>
        <v>45.01</v>
      </c>
      <c r="E3078" s="1">
        <f>IFERROR(__xludf.DUMMYFUNCTION("""COMPUTED_VALUE"""),46.84)</f>
        <v>46.84</v>
      </c>
      <c r="F3078" s="1">
        <f>IFERROR(__xludf.DUMMYFUNCTION("""COMPUTED_VALUE"""),168984.0)</f>
        <v>168984</v>
      </c>
    </row>
    <row r="3079">
      <c r="A3079" s="2">
        <f>IFERROR(__xludf.DUMMYFUNCTION("""COMPUTED_VALUE"""),44648.66666666667)</f>
        <v>44648.66667</v>
      </c>
      <c r="B3079" s="1">
        <f>IFERROR(__xludf.DUMMYFUNCTION("""COMPUTED_VALUE"""),46.84)</f>
        <v>46.84</v>
      </c>
      <c r="C3079" s="1">
        <f>IFERROR(__xludf.DUMMYFUNCTION("""COMPUTED_VALUE"""),46.84)</f>
        <v>46.84</v>
      </c>
      <c r="D3079" s="1">
        <f>IFERROR(__xludf.DUMMYFUNCTION("""COMPUTED_VALUE"""),45.65)</f>
        <v>45.65</v>
      </c>
      <c r="E3079" s="1">
        <f>IFERROR(__xludf.DUMMYFUNCTION("""COMPUTED_VALUE"""),46.17)</f>
        <v>46.17</v>
      </c>
      <c r="F3079" s="1">
        <f>IFERROR(__xludf.DUMMYFUNCTION("""COMPUTED_VALUE"""),154558.0)</f>
        <v>154558</v>
      </c>
    </row>
    <row r="3080">
      <c r="A3080" s="2">
        <f>IFERROR(__xludf.DUMMYFUNCTION("""COMPUTED_VALUE"""),44649.66666666667)</f>
        <v>44649.66667</v>
      </c>
      <c r="B3080" s="1">
        <f>IFERROR(__xludf.DUMMYFUNCTION("""COMPUTED_VALUE"""),46.79)</f>
        <v>46.79</v>
      </c>
      <c r="C3080" s="1">
        <f>IFERROR(__xludf.DUMMYFUNCTION("""COMPUTED_VALUE"""),47.18)</f>
        <v>47.18</v>
      </c>
      <c r="D3080" s="1">
        <f>IFERROR(__xludf.DUMMYFUNCTION("""COMPUTED_VALUE"""),46.35)</f>
        <v>46.35</v>
      </c>
      <c r="E3080" s="1">
        <f>IFERROR(__xludf.DUMMYFUNCTION("""COMPUTED_VALUE"""),46.99)</f>
        <v>46.99</v>
      </c>
      <c r="F3080" s="1">
        <f>IFERROR(__xludf.DUMMYFUNCTION("""COMPUTED_VALUE"""),196188.0)</f>
        <v>196188</v>
      </c>
    </row>
    <row r="3081">
      <c r="A3081" s="2">
        <f>IFERROR(__xludf.DUMMYFUNCTION("""COMPUTED_VALUE"""),44650.66666666667)</f>
        <v>44650.66667</v>
      </c>
      <c r="B3081" s="1">
        <f>IFERROR(__xludf.DUMMYFUNCTION("""COMPUTED_VALUE"""),46.97)</f>
        <v>46.97</v>
      </c>
      <c r="C3081" s="1">
        <f>IFERROR(__xludf.DUMMYFUNCTION("""COMPUTED_VALUE"""),46.99)</f>
        <v>46.99</v>
      </c>
      <c r="D3081" s="1">
        <f>IFERROR(__xludf.DUMMYFUNCTION("""COMPUTED_VALUE"""),45.12)</f>
        <v>45.12</v>
      </c>
      <c r="E3081" s="1">
        <f>IFERROR(__xludf.DUMMYFUNCTION("""COMPUTED_VALUE"""),45.38)</f>
        <v>45.38</v>
      </c>
      <c r="F3081" s="1">
        <f>IFERROR(__xludf.DUMMYFUNCTION("""COMPUTED_VALUE"""),291981.0)</f>
        <v>291981</v>
      </c>
    </row>
    <row r="3082">
      <c r="A3082" s="2">
        <f>IFERROR(__xludf.DUMMYFUNCTION("""COMPUTED_VALUE"""),44651.66666666667)</f>
        <v>44651.66667</v>
      </c>
      <c r="B3082" s="1">
        <f>IFERROR(__xludf.DUMMYFUNCTION("""COMPUTED_VALUE"""),45.55)</f>
        <v>45.55</v>
      </c>
      <c r="C3082" s="1">
        <f>IFERROR(__xludf.DUMMYFUNCTION("""COMPUTED_VALUE"""),45.97)</f>
        <v>45.97</v>
      </c>
      <c r="D3082" s="1">
        <f>IFERROR(__xludf.DUMMYFUNCTION("""COMPUTED_VALUE"""),44.69)</f>
        <v>44.69</v>
      </c>
      <c r="E3082" s="1">
        <f>IFERROR(__xludf.DUMMYFUNCTION("""COMPUTED_VALUE"""),44.75)</f>
        <v>44.75</v>
      </c>
      <c r="F3082" s="1">
        <f>IFERROR(__xludf.DUMMYFUNCTION("""COMPUTED_VALUE"""),361151.0)</f>
        <v>361151</v>
      </c>
    </row>
    <row r="3083">
      <c r="A3083" s="2">
        <f>IFERROR(__xludf.DUMMYFUNCTION("""COMPUTED_VALUE"""),44652.66666666667)</f>
        <v>44652.66667</v>
      </c>
      <c r="B3083" s="1">
        <f>IFERROR(__xludf.DUMMYFUNCTION("""COMPUTED_VALUE"""),45.05)</f>
        <v>45.05</v>
      </c>
      <c r="C3083" s="1">
        <f>IFERROR(__xludf.DUMMYFUNCTION("""COMPUTED_VALUE"""),45.38)</f>
        <v>45.38</v>
      </c>
      <c r="D3083" s="1">
        <f>IFERROR(__xludf.DUMMYFUNCTION("""COMPUTED_VALUE"""),44.13)</f>
        <v>44.13</v>
      </c>
      <c r="E3083" s="1">
        <f>IFERROR(__xludf.DUMMYFUNCTION("""COMPUTED_VALUE"""),44.52)</f>
        <v>44.52</v>
      </c>
      <c r="F3083" s="1">
        <f>IFERROR(__xludf.DUMMYFUNCTION("""COMPUTED_VALUE"""),398370.0)</f>
        <v>398370</v>
      </c>
    </row>
    <row r="3084">
      <c r="A3084" s="2">
        <f>IFERROR(__xludf.DUMMYFUNCTION("""COMPUTED_VALUE"""),44655.66666666667)</f>
        <v>44655.66667</v>
      </c>
      <c r="B3084" s="1">
        <f>IFERROR(__xludf.DUMMYFUNCTION("""COMPUTED_VALUE"""),44.43)</f>
        <v>44.43</v>
      </c>
      <c r="C3084" s="1">
        <f>IFERROR(__xludf.DUMMYFUNCTION("""COMPUTED_VALUE"""),44.51)</f>
        <v>44.51</v>
      </c>
      <c r="D3084" s="1">
        <f>IFERROR(__xludf.DUMMYFUNCTION("""COMPUTED_VALUE"""),43.53)</f>
        <v>43.53</v>
      </c>
      <c r="E3084" s="1">
        <f>IFERROR(__xludf.DUMMYFUNCTION("""COMPUTED_VALUE"""),44.26)</f>
        <v>44.26</v>
      </c>
      <c r="F3084" s="1">
        <f>IFERROR(__xludf.DUMMYFUNCTION("""COMPUTED_VALUE"""),234958.0)</f>
        <v>234958</v>
      </c>
    </row>
    <row r="3085">
      <c r="A3085" s="2">
        <f>IFERROR(__xludf.DUMMYFUNCTION("""COMPUTED_VALUE"""),44656.66666666667)</f>
        <v>44656.66667</v>
      </c>
      <c r="B3085" s="1">
        <f>IFERROR(__xludf.DUMMYFUNCTION("""COMPUTED_VALUE"""),44.31)</f>
        <v>44.31</v>
      </c>
      <c r="C3085" s="1">
        <f>IFERROR(__xludf.DUMMYFUNCTION("""COMPUTED_VALUE"""),44.79)</f>
        <v>44.79</v>
      </c>
      <c r="D3085" s="1">
        <f>IFERROR(__xludf.DUMMYFUNCTION("""COMPUTED_VALUE"""),43.28)</f>
        <v>43.28</v>
      </c>
      <c r="E3085" s="1">
        <f>IFERROR(__xludf.DUMMYFUNCTION("""COMPUTED_VALUE"""),43.42)</f>
        <v>43.42</v>
      </c>
      <c r="F3085" s="1">
        <f>IFERROR(__xludf.DUMMYFUNCTION("""COMPUTED_VALUE"""),253767.0)</f>
        <v>253767</v>
      </c>
    </row>
    <row r="3086">
      <c r="A3086" s="2">
        <f>IFERROR(__xludf.DUMMYFUNCTION("""COMPUTED_VALUE"""),44657.66666666667)</f>
        <v>44657.66667</v>
      </c>
      <c r="B3086" s="1">
        <f>IFERROR(__xludf.DUMMYFUNCTION("""COMPUTED_VALUE"""),43.23)</f>
        <v>43.23</v>
      </c>
      <c r="C3086" s="1">
        <f>IFERROR(__xludf.DUMMYFUNCTION("""COMPUTED_VALUE"""),43.46)</f>
        <v>43.46</v>
      </c>
      <c r="D3086" s="1">
        <f>IFERROR(__xludf.DUMMYFUNCTION("""COMPUTED_VALUE"""),42.92)</f>
        <v>42.92</v>
      </c>
      <c r="E3086" s="1">
        <f>IFERROR(__xludf.DUMMYFUNCTION("""COMPUTED_VALUE"""),42.96)</f>
        <v>42.96</v>
      </c>
      <c r="F3086" s="1">
        <f>IFERROR(__xludf.DUMMYFUNCTION("""COMPUTED_VALUE"""),244578.0)</f>
        <v>244578</v>
      </c>
    </row>
    <row r="3087">
      <c r="A3087" s="2">
        <f>IFERROR(__xludf.DUMMYFUNCTION("""COMPUTED_VALUE"""),44658.66666666667)</f>
        <v>44658.66667</v>
      </c>
      <c r="B3087" s="1">
        <f>IFERROR(__xludf.DUMMYFUNCTION("""COMPUTED_VALUE"""),43.1)</f>
        <v>43.1</v>
      </c>
      <c r="C3087" s="1">
        <f>IFERROR(__xludf.DUMMYFUNCTION("""COMPUTED_VALUE"""),43.1)</f>
        <v>43.1</v>
      </c>
      <c r="D3087" s="1">
        <f>IFERROR(__xludf.DUMMYFUNCTION("""COMPUTED_VALUE"""),42.36)</f>
        <v>42.36</v>
      </c>
      <c r="E3087" s="1">
        <f>IFERROR(__xludf.DUMMYFUNCTION("""COMPUTED_VALUE"""),42.66)</f>
        <v>42.66</v>
      </c>
      <c r="F3087" s="1">
        <f>IFERROR(__xludf.DUMMYFUNCTION("""COMPUTED_VALUE"""),186434.0)</f>
        <v>186434</v>
      </c>
    </row>
    <row r="3088">
      <c r="A3088" s="2">
        <f>IFERROR(__xludf.DUMMYFUNCTION("""COMPUTED_VALUE"""),44659.66666666667)</f>
        <v>44659.66667</v>
      </c>
      <c r="B3088" s="1">
        <f>IFERROR(__xludf.DUMMYFUNCTION("""COMPUTED_VALUE"""),42.66)</f>
        <v>42.66</v>
      </c>
      <c r="C3088" s="1">
        <f>IFERROR(__xludf.DUMMYFUNCTION("""COMPUTED_VALUE"""),43.14)</f>
        <v>43.14</v>
      </c>
      <c r="D3088" s="1">
        <f>IFERROR(__xludf.DUMMYFUNCTION("""COMPUTED_VALUE"""),42.39)</f>
        <v>42.39</v>
      </c>
      <c r="E3088" s="1">
        <f>IFERROR(__xludf.DUMMYFUNCTION("""COMPUTED_VALUE"""),42.43)</f>
        <v>42.43</v>
      </c>
      <c r="F3088" s="1">
        <f>IFERROR(__xludf.DUMMYFUNCTION("""COMPUTED_VALUE"""),176568.0)</f>
        <v>176568</v>
      </c>
    </row>
    <row r="3089">
      <c r="A3089" s="2">
        <f>IFERROR(__xludf.DUMMYFUNCTION("""COMPUTED_VALUE"""),44662.66666666667)</f>
        <v>44662.66667</v>
      </c>
      <c r="B3089" s="1">
        <f>IFERROR(__xludf.DUMMYFUNCTION("""COMPUTED_VALUE"""),42.35)</f>
        <v>42.35</v>
      </c>
      <c r="C3089" s="1">
        <f>IFERROR(__xludf.DUMMYFUNCTION("""COMPUTED_VALUE"""),43.37)</f>
        <v>43.37</v>
      </c>
      <c r="D3089" s="1">
        <f>IFERROR(__xludf.DUMMYFUNCTION("""COMPUTED_VALUE"""),42.35)</f>
        <v>42.35</v>
      </c>
      <c r="E3089" s="1">
        <f>IFERROR(__xludf.DUMMYFUNCTION("""COMPUTED_VALUE"""),42.58)</f>
        <v>42.58</v>
      </c>
      <c r="F3089" s="1">
        <f>IFERROR(__xludf.DUMMYFUNCTION("""COMPUTED_VALUE"""),168323.0)</f>
        <v>168323</v>
      </c>
    </row>
    <row r="3090">
      <c r="A3090" s="2">
        <f>IFERROR(__xludf.DUMMYFUNCTION("""COMPUTED_VALUE"""),44663.66666666667)</f>
        <v>44663.66667</v>
      </c>
      <c r="B3090" s="1">
        <f>IFERROR(__xludf.DUMMYFUNCTION("""COMPUTED_VALUE"""),42.7)</f>
        <v>42.7</v>
      </c>
      <c r="C3090" s="1">
        <f>IFERROR(__xludf.DUMMYFUNCTION("""COMPUTED_VALUE"""),43.2)</f>
        <v>43.2</v>
      </c>
      <c r="D3090" s="1">
        <f>IFERROR(__xludf.DUMMYFUNCTION("""COMPUTED_VALUE"""),42.29)</f>
        <v>42.29</v>
      </c>
      <c r="E3090" s="1">
        <f>IFERROR(__xludf.DUMMYFUNCTION("""COMPUTED_VALUE"""),42.52)</f>
        <v>42.52</v>
      </c>
      <c r="F3090" s="1">
        <f>IFERROR(__xludf.DUMMYFUNCTION("""COMPUTED_VALUE"""),211610.0)</f>
        <v>211610</v>
      </c>
    </row>
    <row r="3091">
      <c r="A3091" s="2">
        <f>IFERROR(__xludf.DUMMYFUNCTION("""COMPUTED_VALUE"""),44664.66666666667)</f>
        <v>44664.66667</v>
      </c>
      <c r="B3091" s="1">
        <f>IFERROR(__xludf.DUMMYFUNCTION("""COMPUTED_VALUE"""),42.23)</f>
        <v>42.23</v>
      </c>
      <c r="C3091" s="1">
        <f>IFERROR(__xludf.DUMMYFUNCTION("""COMPUTED_VALUE"""),43.06)</f>
        <v>43.06</v>
      </c>
      <c r="D3091" s="1">
        <f>IFERROR(__xludf.DUMMYFUNCTION("""COMPUTED_VALUE"""),42.06)</f>
        <v>42.06</v>
      </c>
      <c r="E3091" s="1">
        <f>IFERROR(__xludf.DUMMYFUNCTION("""COMPUTED_VALUE"""),42.99)</f>
        <v>42.99</v>
      </c>
      <c r="F3091" s="1">
        <f>IFERROR(__xludf.DUMMYFUNCTION("""COMPUTED_VALUE"""),184419.0)</f>
        <v>184419</v>
      </c>
    </row>
    <row r="3092">
      <c r="A3092" s="2">
        <f>IFERROR(__xludf.DUMMYFUNCTION("""COMPUTED_VALUE"""),44665.66666666667)</f>
        <v>44665.66667</v>
      </c>
      <c r="B3092" s="1">
        <f>IFERROR(__xludf.DUMMYFUNCTION("""COMPUTED_VALUE"""),43.0)</f>
        <v>43</v>
      </c>
      <c r="C3092" s="1">
        <f>IFERROR(__xludf.DUMMYFUNCTION("""COMPUTED_VALUE"""),43.38)</f>
        <v>43.38</v>
      </c>
      <c r="D3092" s="1">
        <f>IFERROR(__xludf.DUMMYFUNCTION("""COMPUTED_VALUE"""),42.16)</f>
        <v>42.16</v>
      </c>
      <c r="E3092" s="1">
        <f>IFERROR(__xludf.DUMMYFUNCTION("""COMPUTED_VALUE"""),42.25)</f>
        <v>42.25</v>
      </c>
      <c r="F3092" s="1">
        <f>IFERROR(__xludf.DUMMYFUNCTION("""COMPUTED_VALUE"""),301273.0)</f>
        <v>301273</v>
      </c>
    </row>
    <row r="3093">
      <c r="A3093" s="2">
        <f>IFERROR(__xludf.DUMMYFUNCTION("""COMPUTED_VALUE"""),44669.66666666667)</f>
        <v>44669.66667</v>
      </c>
      <c r="B3093" s="1">
        <f>IFERROR(__xludf.DUMMYFUNCTION("""COMPUTED_VALUE"""),42.22)</f>
        <v>42.22</v>
      </c>
      <c r="C3093" s="1">
        <f>IFERROR(__xludf.DUMMYFUNCTION("""COMPUTED_VALUE"""),43.23)</f>
        <v>43.23</v>
      </c>
      <c r="D3093" s="1">
        <f>IFERROR(__xludf.DUMMYFUNCTION("""COMPUTED_VALUE"""),42.07)</f>
        <v>42.07</v>
      </c>
      <c r="E3093" s="1">
        <f>IFERROR(__xludf.DUMMYFUNCTION("""COMPUTED_VALUE"""),42.52)</f>
        <v>42.52</v>
      </c>
      <c r="F3093" s="1">
        <f>IFERROR(__xludf.DUMMYFUNCTION("""COMPUTED_VALUE"""),198847.0)</f>
        <v>198847</v>
      </c>
    </row>
    <row r="3094">
      <c r="A3094" s="2">
        <f>IFERROR(__xludf.DUMMYFUNCTION("""COMPUTED_VALUE"""),44670.66666666667)</f>
        <v>44670.66667</v>
      </c>
      <c r="B3094" s="1">
        <f>IFERROR(__xludf.DUMMYFUNCTION("""COMPUTED_VALUE"""),42.52)</f>
        <v>42.52</v>
      </c>
      <c r="C3094" s="1">
        <f>IFERROR(__xludf.DUMMYFUNCTION("""COMPUTED_VALUE"""),44.38)</f>
        <v>44.38</v>
      </c>
      <c r="D3094" s="1">
        <f>IFERROR(__xludf.DUMMYFUNCTION("""COMPUTED_VALUE"""),42.52)</f>
        <v>42.52</v>
      </c>
      <c r="E3094" s="1">
        <f>IFERROR(__xludf.DUMMYFUNCTION("""COMPUTED_VALUE"""),44.27)</f>
        <v>44.27</v>
      </c>
      <c r="F3094" s="1">
        <f>IFERROR(__xludf.DUMMYFUNCTION("""COMPUTED_VALUE"""),288182.0)</f>
        <v>288182</v>
      </c>
    </row>
    <row r="3095">
      <c r="A3095" s="2">
        <f>IFERROR(__xludf.DUMMYFUNCTION("""COMPUTED_VALUE"""),44671.66666666667)</f>
        <v>44671.66667</v>
      </c>
      <c r="B3095" s="1">
        <f>IFERROR(__xludf.DUMMYFUNCTION("""COMPUTED_VALUE"""),44.48)</f>
        <v>44.48</v>
      </c>
      <c r="C3095" s="1">
        <f>IFERROR(__xludf.DUMMYFUNCTION("""COMPUTED_VALUE"""),45.15)</f>
        <v>45.15</v>
      </c>
      <c r="D3095" s="1">
        <f>IFERROR(__xludf.DUMMYFUNCTION("""COMPUTED_VALUE"""),42.58)</f>
        <v>42.58</v>
      </c>
      <c r="E3095" s="1">
        <f>IFERROR(__xludf.DUMMYFUNCTION("""COMPUTED_VALUE"""),44.75)</f>
        <v>44.75</v>
      </c>
      <c r="F3095" s="1">
        <f>IFERROR(__xludf.DUMMYFUNCTION("""COMPUTED_VALUE"""),250642.0)</f>
        <v>250642</v>
      </c>
    </row>
    <row r="3096">
      <c r="A3096" s="2">
        <f>IFERROR(__xludf.DUMMYFUNCTION("""COMPUTED_VALUE"""),44672.66666666667)</f>
        <v>44672.66667</v>
      </c>
      <c r="B3096" s="1">
        <f>IFERROR(__xludf.DUMMYFUNCTION("""COMPUTED_VALUE"""),45.12)</f>
        <v>45.12</v>
      </c>
      <c r="C3096" s="1">
        <f>IFERROR(__xludf.DUMMYFUNCTION("""COMPUTED_VALUE"""),45.33)</f>
        <v>45.33</v>
      </c>
      <c r="D3096" s="1">
        <f>IFERROR(__xludf.DUMMYFUNCTION("""COMPUTED_VALUE"""),43.85)</f>
        <v>43.85</v>
      </c>
      <c r="E3096" s="1">
        <f>IFERROR(__xludf.DUMMYFUNCTION("""COMPUTED_VALUE"""),44.09)</f>
        <v>44.09</v>
      </c>
      <c r="F3096" s="1">
        <f>IFERROR(__xludf.DUMMYFUNCTION("""COMPUTED_VALUE"""),211814.0)</f>
        <v>211814</v>
      </c>
    </row>
    <row r="3097">
      <c r="A3097" s="2">
        <f>IFERROR(__xludf.DUMMYFUNCTION("""COMPUTED_VALUE"""),44673.66666666667)</f>
        <v>44673.66667</v>
      </c>
      <c r="B3097" s="1">
        <f>IFERROR(__xludf.DUMMYFUNCTION("""COMPUTED_VALUE"""),44.09)</f>
        <v>44.09</v>
      </c>
      <c r="C3097" s="1">
        <f>IFERROR(__xludf.DUMMYFUNCTION("""COMPUTED_VALUE"""),44.2)</f>
        <v>44.2</v>
      </c>
      <c r="D3097" s="1">
        <f>IFERROR(__xludf.DUMMYFUNCTION("""COMPUTED_VALUE"""),43.25)</f>
        <v>43.25</v>
      </c>
      <c r="E3097" s="1">
        <f>IFERROR(__xludf.DUMMYFUNCTION("""COMPUTED_VALUE"""),43.31)</f>
        <v>43.31</v>
      </c>
      <c r="F3097" s="1">
        <f>IFERROR(__xludf.DUMMYFUNCTION("""COMPUTED_VALUE"""),175613.0)</f>
        <v>175613</v>
      </c>
    </row>
    <row r="3098">
      <c r="A3098" s="2">
        <f>IFERROR(__xludf.DUMMYFUNCTION("""COMPUTED_VALUE"""),44676.66666666667)</f>
        <v>44676.66667</v>
      </c>
      <c r="B3098" s="1">
        <f>IFERROR(__xludf.DUMMYFUNCTION("""COMPUTED_VALUE"""),43.07)</f>
        <v>43.07</v>
      </c>
      <c r="C3098" s="1">
        <f>IFERROR(__xludf.DUMMYFUNCTION("""COMPUTED_VALUE"""),43.59)</f>
        <v>43.59</v>
      </c>
      <c r="D3098" s="1">
        <f>IFERROR(__xludf.DUMMYFUNCTION("""COMPUTED_VALUE"""),41.87)</f>
        <v>41.87</v>
      </c>
      <c r="E3098" s="1">
        <f>IFERROR(__xludf.DUMMYFUNCTION("""COMPUTED_VALUE"""),42.96)</f>
        <v>42.96</v>
      </c>
      <c r="F3098" s="1">
        <f>IFERROR(__xludf.DUMMYFUNCTION("""COMPUTED_VALUE"""),364375.0)</f>
        <v>364375</v>
      </c>
    </row>
    <row r="3099">
      <c r="A3099" s="2">
        <f>IFERROR(__xludf.DUMMYFUNCTION("""COMPUTED_VALUE"""),44677.66666666667)</f>
        <v>44677.66667</v>
      </c>
      <c r="B3099" s="1">
        <f>IFERROR(__xludf.DUMMYFUNCTION("""COMPUTED_VALUE"""),41.99)</f>
        <v>41.99</v>
      </c>
      <c r="C3099" s="1">
        <f>IFERROR(__xludf.DUMMYFUNCTION("""COMPUTED_VALUE"""),43.07)</f>
        <v>43.07</v>
      </c>
      <c r="D3099" s="1">
        <f>IFERROR(__xludf.DUMMYFUNCTION("""COMPUTED_VALUE"""),40.99)</f>
        <v>40.99</v>
      </c>
      <c r="E3099" s="1">
        <f>IFERROR(__xludf.DUMMYFUNCTION("""COMPUTED_VALUE"""),41.1)</f>
        <v>41.1</v>
      </c>
      <c r="F3099" s="1">
        <f>IFERROR(__xludf.DUMMYFUNCTION("""COMPUTED_VALUE"""),355686.0)</f>
        <v>355686</v>
      </c>
    </row>
    <row r="3100">
      <c r="A3100" s="2">
        <f>IFERROR(__xludf.DUMMYFUNCTION("""COMPUTED_VALUE"""),44678.66666666667)</f>
        <v>44678.66667</v>
      </c>
      <c r="B3100" s="1">
        <f>IFERROR(__xludf.DUMMYFUNCTION("""COMPUTED_VALUE"""),41.58)</f>
        <v>41.58</v>
      </c>
      <c r="C3100" s="1">
        <f>IFERROR(__xludf.DUMMYFUNCTION("""COMPUTED_VALUE"""),41.9)</f>
        <v>41.9</v>
      </c>
      <c r="D3100" s="1">
        <f>IFERROR(__xludf.DUMMYFUNCTION("""COMPUTED_VALUE"""),40.98)</f>
        <v>40.98</v>
      </c>
      <c r="E3100" s="1">
        <f>IFERROR(__xludf.DUMMYFUNCTION("""COMPUTED_VALUE"""),41.2)</f>
        <v>41.2</v>
      </c>
      <c r="F3100" s="1">
        <f>IFERROR(__xludf.DUMMYFUNCTION("""COMPUTED_VALUE"""),312250.0)</f>
        <v>312250</v>
      </c>
    </row>
    <row r="3101">
      <c r="A3101" s="2">
        <f>IFERROR(__xludf.DUMMYFUNCTION("""COMPUTED_VALUE"""),44679.66666666667)</f>
        <v>44679.66667</v>
      </c>
      <c r="B3101" s="1">
        <f>IFERROR(__xludf.DUMMYFUNCTION("""COMPUTED_VALUE"""),41.67)</f>
        <v>41.67</v>
      </c>
      <c r="C3101" s="1">
        <f>IFERROR(__xludf.DUMMYFUNCTION("""COMPUTED_VALUE"""),41.95)</f>
        <v>41.95</v>
      </c>
      <c r="D3101" s="1">
        <f>IFERROR(__xludf.DUMMYFUNCTION("""COMPUTED_VALUE"""),40.75)</f>
        <v>40.75</v>
      </c>
      <c r="E3101" s="1">
        <f>IFERROR(__xludf.DUMMYFUNCTION("""COMPUTED_VALUE"""),41.47)</f>
        <v>41.47</v>
      </c>
      <c r="F3101" s="1">
        <f>IFERROR(__xludf.DUMMYFUNCTION("""COMPUTED_VALUE"""),271260.0)</f>
        <v>271260</v>
      </c>
    </row>
    <row r="3102">
      <c r="A3102" s="2">
        <f>IFERROR(__xludf.DUMMYFUNCTION("""COMPUTED_VALUE"""),44680.66666666667)</f>
        <v>44680.66667</v>
      </c>
      <c r="B3102" s="1">
        <f>IFERROR(__xludf.DUMMYFUNCTION("""COMPUTED_VALUE"""),41.45)</f>
        <v>41.45</v>
      </c>
      <c r="C3102" s="1">
        <f>IFERROR(__xludf.DUMMYFUNCTION("""COMPUTED_VALUE"""),41.61)</f>
        <v>41.61</v>
      </c>
      <c r="D3102" s="1">
        <f>IFERROR(__xludf.DUMMYFUNCTION("""COMPUTED_VALUE"""),39.88)</f>
        <v>39.88</v>
      </c>
      <c r="E3102" s="1">
        <f>IFERROR(__xludf.DUMMYFUNCTION("""COMPUTED_VALUE"""),40.09)</f>
        <v>40.09</v>
      </c>
      <c r="F3102" s="1">
        <f>IFERROR(__xludf.DUMMYFUNCTION("""COMPUTED_VALUE"""),287815.0)</f>
        <v>287815</v>
      </c>
    </row>
    <row r="3103">
      <c r="A3103" s="2">
        <f>IFERROR(__xludf.DUMMYFUNCTION("""COMPUTED_VALUE"""),44683.66666666667)</f>
        <v>44683.66667</v>
      </c>
      <c r="B3103" s="1">
        <f>IFERROR(__xludf.DUMMYFUNCTION("""COMPUTED_VALUE"""),40.18)</f>
        <v>40.18</v>
      </c>
      <c r="C3103" s="1">
        <f>IFERROR(__xludf.DUMMYFUNCTION("""COMPUTED_VALUE"""),40.85)</f>
        <v>40.85</v>
      </c>
      <c r="D3103" s="1">
        <f>IFERROR(__xludf.DUMMYFUNCTION("""COMPUTED_VALUE"""),39.66)</f>
        <v>39.66</v>
      </c>
      <c r="E3103" s="1">
        <f>IFERROR(__xludf.DUMMYFUNCTION("""COMPUTED_VALUE"""),40.64)</f>
        <v>40.64</v>
      </c>
      <c r="F3103" s="1">
        <f>IFERROR(__xludf.DUMMYFUNCTION("""COMPUTED_VALUE"""),289929.0)</f>
        <v>289929</v>
      </c>
    </row>
    <row r="3104">
      <c r="A3104" s="2">
        <f>IFERROR(__xludf.DUMMYFUNCTION("""COMPUTED_VALUE"""),44684.66666666667)</f>
        <v>44684.66667</v>
      </c>
      <c r="B3104" s="1">
        <f>IFERROR(__xludf.DUMMYFUNCTION("""COMPUTED_VALUE"""),40.56)</f>
        <v>40.56</v>
      </c>
      <c r="C3104" s="1">
        <f>IFERROR(__xludf.DUMMYFUNCTION("""COMPUTED_VALUE"""),41.14)</f>
        <v>41.14</v>
      </c>
      <c r="D3104" s="1">
        <f>IFERROR(__xludf.DUMMYFUNCTION("""COMPUTED_VALUE"""),40.19)</f>
        <v>40.19</v>
      </c>
      <c r="E3104" s="1">
        <f>IFERROR(__xludf.DUMMYFUNCTION("""COMPUTED_VALUE"""),40.73)</f>
        <v>40.73</v>
      </c>
      <c r="F3104" s="1">
        <f>IFERROR(__xludf.DUMMYFUNCTION("""COMPUTED_VALUE"""),204954.0)</f>
        <v>204954</v>
      </c>
    </row>
    <row r="3105">
      <c r="A3105" s="2">
        <f>IFERROR(__xludf.DUMMYFUNCTION("""COMPUTED_VALUE"""),44685.66666666667)</f>
        <v>44685.66667</v>
      </c>
      <c r="B3105" s="1">
        <f>IFERROR(__xludf.DUMMYFUNCTION("""COMPUTED_VALUE"""),40.78)</f>
        <v>40.78</v>
      </c>
      <c r="C3105" s="1">
        <f>IFERROR(__xludf.DUMMYFUNCTION("""COMPUTED_VALUE"""),42.03)</f>
        <v>42.03</v>
      </c>
      <c r="D3105" s="1">
        <f>IFERROR(__xludf.DUMMYFUNCTION("""COMPUTED_VALUE"""),40.57)</f>
        <v>40.57</v>
      </c>
      <c r="E3105" s="1">
        <f>IFERROR(__xludf.DUMMYFUNCTION("""COMPUTED_VALUE"""),41.89)</f>
        <v>41.89</v>
      </c>
      <c r="F3105" s="1">
        <f>IFERROR(__xludf.DUMMYFUNCTION("""COMPUTED_VALUE"""),239296.0)</f>
        <v>239296</v>
      </c>
    </row>
    <row r="3106">
      <c r="A3106" s="2">
        <f>IFERROR(__xludf.DUMMYFUNCTION("""COMPUTED_VALUE"""),44686.66666666667)</f>
        <v>44686.66667</v>
      </c>
      <c r="B3106" s="1">
        <f>IFERROR(__xludf.DUMMYFUNCTION("""COMPUTED_VALUE"""),41.44)</f>
        <v>41.44</v>
      </c>
      <c r="C3106" s="1">
        <f>IFERROR(__xludf.DUMMYFUNCTION("""COMPUTED_VALUE"""),41.44)</f>
        <v>41.44</v>
      </c>
      <c r="D3106" s="1">
        <f>IFERROR(__xludf.DUMMYFUNCTION("""COMPUTED_VALUE"""),39.97)</f>
        <v>39.97</v>
      </c>
      <c r="E3106" s="1">
        <f>IFERROR(__xludf.DUMMYFUNCTION("""COMPUTED_VALUE"""),40.49)</f>
        <v>40.49</v>
      </c>
      <c r="F3106" s="1">
        <f>IFERROR(__xludf.DUMMYFUNCTION("""COMPUTED_VALUE"""),255107.0)</f>
        <v>255107</v>
      </c>
    </row>
    <row r="3107">
      <c r="A3107" s="2">
        <f>IFERROR(__xludf.DUMMYFUNCTION("""COMPUTED_VALUE"""),44687.66666666667)</f>
        <v>44687.66667</v>
      </c>
      <c r="B3107" s="1">
        <f>IFERROR(__xludf.DUMMYFUNCTION("""COMPUTED_VALUE"""),40.5)</f>
        <v>40.5</v>
      </c>
      <c r="C3107" s="1">
        <f>IFERROR(__xludf.DUMMYFUNCTION("""COMPUTED_VALUE"""),40.5)</f>
        <v>40.5</v>
      </c>
      <c r="D3107" s="1">
        <f>IFERROR(__xludf.DUMMYFUNCTION("""COMPUTED_VALUE"""),39.49)</f>
        <v>39.49</v>
      </c>
      <c r="E3107" s="1">
        <f>IFERROR(__xludf.DUMMYFUNCTION("""COMPUTED_VALUE"""),40.1)</f>
        <v>40.1</v>
      </c>
      <c r="F3107" s="1">
        <f>IFERROR(__xludf.DUMMYFUNCTION("""COMPUTED_VALUE"""),278083.0)</f>
        <v>278083</v>
      </c>
    </row>
    <row r="3108">
      <c r="A3108" s="2">
        <f>IFERROR(__xludf.DUMMYFUNCTION("""COMPUTED_VALUE"""),44690.66666666667)</f>
        <v>44690.66667</v>
      </c>
      <c r="B3108" s="1">
        <f>IFERROR(__xludf.DUMMYFUNCTION("""COMPUTED_VALUE"""),39.67)</f>
        <v>39.67</v>
      </c>
      <c r="C3108" s="1">
        <f>IFERROR(__xludf.DUMMYFUNCTION("""COMPUTED_VALUE"""),40.43)</f>
        <v>40.43</v>
      </c>
      <c r="D3108" s="1">
        <f>IFERROR(__xludf.DUMMYFUNCTION("""COMPUTED_VALUE"""),39.35)</f>
        <v>39.35</v>
      </c>
      <c r="E3108" s="1">
        <f>IFERROR(__xludf.DUMMYFUNCTION("""COMPUTED_VALUE"""),39.85)</f>
        <v>39.85</v>
      </c>
      <c r="F3108" s="1">
        <f>IFERROR(__xludf.DUMMYFUNCTION("""COMPUTED_VALUE"""),358520.0)</f>
        <v>358520</v>
      </c>
    </row>
    <row r="3109">
      <c r="A3109" s="2">
        <f>IFERROR(__xludf.DUMMYFUNCTION("""COMPUTED_VALUE"""),44691.66666666667)</f>
        <v>44691.66667</v>
      </c>
      <c r="B3109" s="1">
        <f>IFERROR(__xludf.DUMMYFUNCTION("""COMPUTED_VALUE"""),40.19)</f>
        <v>40.19</v>
      </c>
      <c r="C3109" s="1">
        <f>IFERROR(__xludf.DUMMYFUNCTION("""COMPUTED_VALUE"""),40.4)</f>
        <v>40.4</v>
      </c>
      <c r="D3109" s="1">
        <f>IFERROR(__xludf.DUMMYFUNCTION("""COMPUTED_VALUE"""),38.81)</f>
        <v>38.81</v>
      </c>
      <c r="E3109" s="1">
        <f>IFERROR(__xludf.DUMMYFUNCTION("""COMPUTED_VALUE"""),39.52)</f>
        <v>39.52</v>
      </c>
      <c r="F3109" s="1">
        <f>IFERROR(__xludf.DUMMYFUNCTION("""COMPUTED_VALUE"""),221596.0)</f>
        <v>221596</v>
      </c>
    </row>
    <row r="3110">
      <c r="A3110" s="2">
        <f>IFERROR(__xludf.DUMMYFUNCTION("""COMPUTED_VALUE"""),44692.66666666667)</f>
        <v>44692.66667</v>
      </c>
      <c r="B3110" s="1">
        <f>IFERROR(__xludf.DUMMYFUNCTION("""COMPUTED_VALUE"""),39.65)</f>
        <v>39.65</v>
      </c>
      <c r="C3110" s="1">
        <f>IFERROR(__xludf.DUMMYFUNCTION("""COMPUTED_VALUE"""),40.23)</f>
        <v>40.23</v>
      </c>
      <c r="D3110" s="1">
        <f>IFERROR(__xludf.DUMMYFUNCTION("""COMPUTED_VALUE"""),38.98)</f>
        <v>38.98</v>
      </c>
      <c r="E3110" s="1">
        <f>IFERROR(__xludf.DUMMYFUNCTION("""COMPUTED_VALUE"""),39.25)</f>
        <v>39.25</v>
      </c>
      <c r="F3110" s="1">
        <f>IFERROR(__xludf.DUMMYFUNCTION("""COMPUTED_VALUE"""),253277.0)</f>
        <v>253277</v>
      </c>
    </row>
    <row r="3111">
      <c r="A3111" s="2">
        <f>IFERROR(__xludf.DUMMYFUNCTION("""COMPUTED_VALUE"""),44693.66666666667)</f>
        <v>44693.66667</v>
      </c>
      <c r="B3111" s="1">
        <f>IFERROR(__xludf.DUMMYFUNCTION("""COMPUTED_VALUE"""),38.98)</f>
        <v>38.98</v>
      </c>
      <c r="C3111" s="1">
        <f>IFERROR(__xludf.DUMMYFUNCTION("""COMPUTED_VALUE"""),39.43)</f>
        <v>39.43</v>
      </c>
      <c r="D3111" s="1">
        <f>IFERROR(__xludf.DUMMYFUNCTION("""COMPUTED_VALUE"""),38.35)</f>
        <v>38.35</v>
      </c>
      <c r="E3111" s="1">
        <f>IFERROR(__xludf.DUMMYFUNCTION("""COMPUTED_VALUE"""),39.2)</f>
        <v>39.2</v>
      </c>
      <c r="F3111" s="1">
        <f>IFERROR(__xludf.DUMMYFUNCTION("""COMPUTED_VALUE"""),234206.0)</f>
        <v>234206</v>
      </c>
    </row>
    <row r="3112">
      <c r="A3112" s="2">
        <f>IFERROR(__xludf.DUMMYFUNCTION("""COMPUTED_VALUE"""),44694.66666666667)</f>
        <v>44694.66667</v>
      </c>
      <c r="B3112" s="1">
        <f>IFERROR(__xludf.DUMMYFUNCTION("""COMPUTED_VALUE"""),39.67)</f>
        <v>39.67</v>
      </c>
      <c r="C3112" s="1">
        <f>IFERROR(__xludf.DUMMYFUNCTION("""COMPUTED_VALUE"""),40.01)</f>
        <v>40.01</v>
      </c>
      <c r="D3112" s="1">
        <f>IFERROR(__xludf.DUMMYFUNCTION("""COMPUTED_VALUE"""),39.11)</f>
        <v>39.11</v>
      </c>
      <c r="E3112" s="1">
        <f>IFERROR(__xludf.DUMMYFUNCTION("""COMPUTED_VALUE"""),39.4)</f>
        <v>39.4</v>
      </c>
      <c r="F3112" s="1">
        <f>IFERROR(__xludf.DUMMYFUNCTION("""COMPUTED_VALUE"""),202735.0)</f>
        <v>202735</v>
      </c>
    </row>
    <row r="3113">
      <c r="A3113" s="2">
        <f>IFERROR(__xludf.DUMMYFUNCTION("""COMPUTED_VALUE"""),44697.66666666667)</f>
        <v>44697.66667</v>
      </c>
      <c r="B3113" s="1">
        <f>IFERROR(__xludf.DUMMYFUNCTION("""COMPUTED_VALUE"""),39.11)</f>
        <v>39.11</v>
      </c>
      <c r="C3113" s="1">
        <f>IFERROR(__xludf.DUMMYFUNCTION("""COMPUTED_VALUE"""),39.32)</f>
        <v>39.32</v>
      </c>
      <c r="D3113" s="1">
        <f>IFERROR(__xludf.DUMMYFUNCTION("""COMPUTED_VALUE"""),38.64)</f>
        <v>38.64</v>
      </c>
      <c r="E3113" s="1">
        <f>IFERROR(__xludf.DUMMYFUNCTION("""COMPUTED_VALUE"""),38.93)</f>
        <v>38.93</v>
      </c>
      <c r="F3113" s="1">
        <f>IFERROR(__xludf.DUMMYFUNCTION("""COMPUTED_VALUE"""),262209.0)</f>
        <v>262209</v>
      </c>
    </row>
    <row r="3114">
      <c r="A3114" s="2">
        <f>IFERROR(__xludf.DUMMYFUNCTION("""COMPUTED_VALUE"""),44698.66666666667)</f>
        <v>44698.66667</v>
      </c>
      <c r="B3114" s="1">
        <f>IFERROR(__xludf.DUMMYFUNCTION("""COMPUTED_VALUE"""),39.66)</f>
        <v>39.66</v>
      </c>
      <c r="C3114" s="1">
        <f>IFERROR(__xludf.DUMMYFUNCTION("""COMPUTED_VALUE"""),40.0)</f>
        <v>40</v>
      </c>
      <c r="D3114" s="1">
        <f>IFERROR(__xludf.DUMMYFUNCTION("""COMPUTED_VALUE"""),39.45)</f>
        <v>39.45</v>
      </c>
      <c r="E3114" s="1">
        <f>IFERROR(__xludf.DUMMYFUNCTION("""COMPUTED_VALUE"""),39.94)</f>
        <v>39.94</v>
      </c>
      <c r="F3114" s="1">
        <f>IFERROR(__xludf.DUMMYFUNCTION("""COMPUTED_VALUE"""),490508.0)</f>
        <v>490508</v>
      </c>
    </row>
    <row r="3115">
      <c r="A3115" s="2">
        <f>IFERROR(__xludf.DUMMYFUNCTION("""COMPUTED_VALUE"""),44699.66666666667)</f>
        <v>44699.66667</v>
      </c>
      <c r="B3115" s="1">
        <f>IFERROR(__xludf.DUMMYFUNCTION("""COMPUTED_VALUE"""),39.42)</f>
        <v>39.42</v>
      </c>
      <c r="C3115" s="1">
        <f>IFERROR(__xludf.DUMMYFUNCTION("""COMPUTED_VALUE"""),39.66)</f>
        <v>39.66</v>
      </c>
      <c r="D3115" s="1">
        <f>IFERROR(__xludf.DUMMYFUNCTION("""COMPUTED_VALUE"""),38.45)</f>
        <v>38.45</v>
      </c>
      <c r="E3115" s="1">
        <f>IFERROR(__xludf.DUMMYFUNCTION("""COMPUTED_VALUE"""),38.65)</f>
        <v>38.65</v>
      </c>
      <c r="F3115" s="1">
        <f>IFERROR(__xludf.DUMMYFUNCTION("""COMPUTED_VALUE"""),282521.0)</f>
        <v>282521</v>
      </c>
    </row>
    <row r="3116">
      <c r="A3116" s="2">
        <f>IFERROR(__xludf.DUMMYFUNCTION("""COMPUTED_VALUE"""),44700.66666666667)</f>
        <v>44700.66667</v>
      </c>
      <c r="B3116" s="1">
        <f>IFERROR(__xludf.DUMMYFUNCTION("""COMPUTED_VALUE"""),38.2)</f>
        <v>38.2</v>
      </c>
      <c r="C3116" s="1">
        <f>IFERROR(__xludf.DUMMYFUNCTION("""COMPUTED_VALUE"""),38.9)</f>
        <v>38.9</v>
      </c>
      <c r="D3116" s="1">
        <f>IFERROR(__xludf.DUMMYFUNCTION("""COMPUTED_VALUE"""),38.06)</f>
        <v>38.06</v>
      </c>
      <c r="E3116" s="1">
        <f>IFERROR(__xludf.DUMMYFUNCTION("""COMPUTED_VALUE"""),38.27)</f>
        <v>38.27</v>
      </c>
      <c r="F3116" s="1">
        <f>IFERROR(__xludf.DUMMYFUNCTION("""COMPUTED_VALUE"""),331378.0)</f>
        <v>331378</v>
      </c>
    </row>
    <row r="3117">
      <c r="A3117" s="2">
        <f>IFERROR(__xludf.DUMMYFUNCTION("""COMPUTED_VALUE"""),44701.66666666667)</f>
        <v>44701.66667</v>
      </c>
      <c r="B3117" s="1">
        <f>IFERROR(__xludf.DUMMYFUNCTION("""COMPUTED_VALUE"""),38.58)</f>
        <v>38.58</v>
      </c>
      <c r="C3117" s="1">
        <f>IFERROR(__xludf.DUMMYFUNCTION("""COMPUTED_VALUE"""),38.78)</f>
        <v>38.78</v>
      </c>
      <c r="D3117" s="1">
        <f>IFERROR(__xludf.DUMMYFUNCTION("""COMPUTED_VALUE"""),37.48)</f>
        <v>37.48</v>
      </c>
      <c r="E3117" s="1">
        <f>IFERROR(__xludf.DUMMYFUNCTION("""COMPUTED_VALUE"""),38.45)</f>
        <v>38.45</v>
      </c>
      <c r="F3117" s="1">
        <f>IFERROR(__xludf.DUMMYFUNCTION("""COMPUTED_VALUE"""),242769.0)</f>
        <v>242769</v>
      </c>
    </row>
    <row r="3118">
      <c r="A3118" s="2">
        <f>IFERROR(__xludf.DUMMYFUNCTION("""COMPUTED_VALUE"""),44704.66666666667)</f>
        <v>44704.66667</v>
      </c>
      <c r="B3118" s="1">
        <f>IFERROR(__xludf.DUMMYFUNCTION("""COMPUTED_VALUE"""),39.13)</f>
        <v>39.13</v>
      </c>
      <c r="C3118" s="1">
        <f>IFERROR(__xludf.DUMMYFUNCTION("""COMPUTED_VALUE"""),39.62)</f>
        <v>39.62</v>
      </c>
      <c r="D3118" s="1">
        <f>IFERROR(__xludf.DUMMYFUNCTION("""COMPUTED_VALUE"""),38.46)</f>
        <v>38.46</v>
      </c>
      <c r="E3118" s="1">
        <f>IFERROR(__xludf.DUMMYFUNCTION("""COMPUTED_VALUE"""),38.92)</f>
        <v>38.92</v>
      </c>
      <c r="F3118" s="1">
        <f>IFERROR(__xludf.DUMMYFUNCTION("""COMPUTED_VALUE"""),256746.0)</f>
        <v>256746</v>
      </c>
    </row>
    <row r="3119">
      <c r="A3119" s="2">
        <f>IFERROR(__xludf.DUMMYFUNCTION("""COMPUTED_VALUE"""),44705.66666666667)</f>
        <v>44705.66667</v>
      </c>
      <c r="B3119" s="1">
        <f>IFERROR(__xludf.DUMMYFUNCTION("""COMPUTED_VALUE"""),38.69)</f>
        <v>38.69</v>
      </c>
      <c r="C3119" s="1">
        <f>IFERROR(__xludf.DUMMYFUNCTION("""COMPUTED_VALUE"""),39.19)</f>
        <v>39.19</v>
      </c>
      <c r="D3119" s="1">
        <f>IFERROR(__xludf.DUMMYFUNCTION("""COMPUTED_VALUE"""),37.96)</f>
        <v>37.96</v>
      </c>
      <c r="E3119" s="1">
        <f>IFERROR(__xludf.DUMMYFUNCTION("""COMPUTED_VALUE"""),38.85)</f>
        <v>38.85</v>
      </c>
      <c r="F3119" s="1">
        <f>IFERROR(__xludf.DUMMYFUNCTION("""COMPUTED_VALUE"""),250774.0)</f>
        <v>250774</v>
      </c>
    </row>
    <row r="3120">
      <c r="A3120" s="2">
        <f>IFERROR(__xludf.DUMMYFUNCTION("""COMPUTED_VALUE"""),44706.66666666667)</f>
        <v>44706.66667</v>
      </c>
      <c r="B3120" s="1">
        <f>IFERROR(__xludf.DUMMYFUNCTION("""COMPUTED_VALUE"""),38.73)</f>
        <v>38.73</v>
      </c>
      <c r="C3120" s="1">
        <f>IFERROR(__xludf.DUMMYFUNCTION("""COMPUTED_VALUE"""),39.71)</f>
        <v>39.71</v>
      </c>
      <c r="D3120" s="1">
        <f>IFERROR(__xludf.DUMMYFUNCTION("""COMPUTED_VALUE"""),38.68)</f>
        <v>38.68</v>
      </c>
      <c r="E3120" s="1">
        <f>IFERROR(__xludf.DUMMYFUNCTION("""COMPUTED_VALUE"""),39.39)</f>
        <v>39.39</v>
      </c>
      <c r="F3120" s="1">
        <f>IFERROR(__xludf.DUMMYFUNCTION("""COMPUTED_VALUE"""),253242.0)</f>
        <v>253242</v>
      </c>
    </row>
    <row r="3121">
      <c r="A3121" s="2">
        <f>IFERROR(__xludf.DUMMYFUNCTION("""COMPUTED_VALUE"""),44707.66666666667)</f>
        <v>44707.66667</v>
      </c>
      <c r="B3121" s="1">
        <f>IFERROR(__xludf.DUMMYFUNCTION("""COMPUTED_VALUE"""),39.36)</f>
        <v>39.36</v>
      </c>
      <c r="C3121" s="1">
        <f>IFERROR(__xludf.DUMMYFUNCTION("""COMPUTED_VALUE"""),40.22)</f>
        <v>40.22</v>
      </c>
      <c r="D3121" s="1">
        <f>IFERROR(__xludf.DUMMYFUNCTION("""COMPUTED_VALUE"""),38.92)</f>
        <v>38.92</v>
      </c>
      <c r="E3121" s="1">
        <f>IFERROR(__xludf.DUMMYFUNCTION("""COMPUTED_VALUE"""),39.97)</f>
        <v>39.97</v>
      </c>
      <c r="F3121" s="1">
        <f>IFERROR(__xludf.DUMMYFUNCTION("""COMPUTED_VALUE"""),248835.0)</f>
        <v>248835</v>
      </c>
    </row>
    <row r="3122">
      <c r="A3122" s="2">
        <f>IFERROR(__xludf.DUMMYFUNCTION("""COMPUTED_VALUE"""),44708.66666666667)</f>
        <v>44708.66667</v>
      </c>
      <c r="B3122" s="1">
        <f>IFERROR(__xludf.DUMMYFUNCTION("""COMPUTED_VALUE"""),40.48)</f>
        <v>40.48</v>
      </c>
      <c r="C3122" s="1">
        <f>IFERROR(__xludf.DUMMYFUNCTION("""COMPUTED_VALUE"""),41.67)</f>
        <v>41.67</v>
      </c>
      <c r="D3122" s="1">
        <f>IFERROR(__xludf.DUMMYFUNCTION("""COMPUTED_VALUE"""),40.25)</f>
        <v>40.25</v>
      </c>
      <c r="E3122" s="1">
        <f>IFERROR(__xludf.DUMMYFUNCTION("""COMPUTED_VALUE"""),41.53)</f>
        <v>41.53</v>
      </c>
      <c r="F3122" s="1">
        <f>IFERROR(__xludf.DUMMYFUNCTION("""COMPUTED_VALUE"""),525261.0)</f>
        <v>525261</v>
      </c>
    </row>
    <row r="3123">
      <c r="A3123" s="2">
        <f>IFERROR(__xludf.DUMMYFUNCTION("""COMPUTED_VALUE"""),44712.66666666667)</f>
        <v>44712.66667</v>
      </c>
      <c r="B3123" s="1">
        <f>IFERROR(__xludf.DUMMYFUNCTION("""COMPUTED_VALUE"""),40.93)</f>
        <v>40.93</v>
      </c>
      <c r="C3123" s="1">
        <f>IFERROR(__xludf.DUMMYFUNCTION("""COMPUTED_VALUE"""),41.46)</f>
        <v>41.46</v>
      </c>
      <c r="D3123" s="1">
        <f>IFERROR(__xludf.DUMMYFUNCTION("""COMPUTED_VALUE"""),40.57)</f>
        <v>40.57</v>
      </c>
      <c r="E3123" s="1">
        <f>IFERROR(__xludf.DUMMYFUNCTION("""COMPUTED_VALUE"""),41.11)</f>
        <v>41.11</v>
      </c>
      <c r="F3123" s="1">
        <f>IFERROR(__xludf.DUMMYFUNCTION("""COMPUTED_VALUE"""),511890.0)</f>
        <v>511890</v>
      </c>
    </row>
    <row r="3124">
      <c r="A3124" s="2">
        <f>IFERROR(__xludf.DUMMYFUNCTION("""COMPUTED_VALUE"""),44713.66666666667)</f>
        <v>44713.66667</v>
      </c>
      <c r="B3124" s="1">
        <f>IFERROR(__xludf.DUMMYFUNCTION("""COMPUTED_VALUE"""),41.06)</f>
        <v>41.06</v>
      </c>
      <c r="C3124" s="1">
        <f>IFERROR(__xludf.DUMMYFUNCTION("""COMPUTED_VALUE"""),41.5)</f>
        <v>41.5</v>
      </c>
      <c r="D3124" s="1">
        <f>IFERROR(__xludf.DUMMYFUNCTION("""COMPUTED_VALUE"""),40.44)</f>
        <v>40.44</v>
      </c>
      <c r="E3124" s="1">
        <f>IFERROR(__xludf.DUMMYFUNCTION("""COMPUTED_VALUE"""),41.13)</f>
        <v>41.13</v>
      </c>
      <c r="F3124" s="1">
        <f>IFERROR(__xludf.DUMMYFUNCTION("""COMPUTED_VALUE"""),424231.0)</f>
        <v>424231</v>
      </c>
    </row>
    <row r="3125">
      <c r="A3125" s="2">
        <f>IFERROR(__xludf.DUMMYFUNCTION("""COMPUTED_VALUE"""),44714.66666666667)</f>
        <v>44714.66667</v>
      </c>
      <c r="B3125" s="1">
        <f>IFERROR(__xludf.DUMMYFUNCTION("""COMPUTED_VALUE"""),41.08)</f>
        <v>41.08</v>
      </c>
      <c r="C3125" s="1">
        <f>IFERROR(__xludf.DUMMYFUNCTION("""COMPUTED_VALUE"""),42.07)</f>
        <v>42.07</v>
      </c>
      <c r="D3125" s="1">
        <f>IFERROR(__xludf.DUMMYFUNCTION("""COMPUTED_VALUE"""),40.93)</f>
        <v>40.93</v>
      </c>
      <c r="E3125" s="1">
        <f>IFERROR(__xludf.DUMMYFUNCTION("""COMPUTED_VALUE"""),42.05)</f>
        <v>42.05</v>
      </c>
      <c r="F3125" s="1">
        <f>IFERROR(__xludf.DUMMYFUNCTION("""COMPUTED_VALUE"""),379188.0)</f>
        <v>379188</v>
      </c>
    </row>
    <row r="3126">
      <c r="A3126" s="2">
        <f>IFERROR(__xludf.DUMMYFUNCTION("""COMPUTED_VALUE"""),44715.66666666667)</f>
        <v>44715.66667</v>
      </c>
      <c r="B3126" s="1">
        <f>IFERROR(__xludf.DUMMYFUNCTION("""COMPUTED_VALUE"""),41.75)</f>
        <v>41.75</v>
      </c>
      <c r="C3126" s="1">
        <f>IFERROR(__xludf.DUMMYFUNCTION("""COMPUTED_VALUE"""),42.09)</f>
        <v>42.09</v>
      </c>
      <c r="D3126" s="1">
        <f>IFERROR(__xludf.DUMMYFUNCTION("""COMPUTED_VALUE"""),41.64)</f>
        <v>41.64</v>
      </c>
      <c r="E3126" s="1">
        <f>IFERROR(__xludf.DUMMYFUNCTION("""COMPUTED_VALUE"""),41.85)</f>
        <v>41.85</v>
      </c>
      <c r="F3126" s="1">
        <f>IFERROR(__xludf.DUMMYFUNCTION("""COMPUTED_VALUE"""),309051.0)</f>
        <v>309051</v>
      </c>
    </row>
    <row r="3127">
      <c r="A3127" s="2">
        <f>IFERROR(__xludf.DUMMYFUNCTION("""COMPUTED_VALUE"""),44718.66666666667)</f>
        <v>44718.66667</v>
      </c>
      <c r="B3127" s="1">
        <f>IFERROR(__xludf.DUMMYFUNCTION("""COMPUTED_VALUE"""),42.31)</f>
        <v>42.31</v>
      </c>
      <c r="C3127" s="1">
        <f>IFERROR(__xludf.DUMMYFUNCTION("""COMPUTED_VALUE"""),42.77)</f>
        <v>42.77</v>
      </c>
      <c r="D3127" s="1">
        <f>IFERROR(__xludf.DUMMYFUNCTION("""COMPUTED_VALUE"""),42.08)</f>
        <v>42.08</v>
      </c>
      <c r="E3127" s="1">
        <f>IFERROR(__xludf.DUMMYFUNCTION("""COMPUTED_VALUE"""),42.3)</f>
        <v>42.3</v>
      </c>
      <c r="F3127" s="1">
        <f>IFERROR(__xludf.DUMMYFUNCTION("""COMPUTED_VALUE"""),379434.0)</f>
        <v>379434</v>
      </c>
    </row>
    <row r="3128">
      <c r="A3128" s="2">
        <f>IFERROR(__xludf.DUMMYFUNCTION("""COMPUTED_VALUE"""),44719.66666666667)</f>
        <v>44719.66667</v>
      </c>
      <c r="B3128" s="1">
        <f>IFERROR(__xludf.DUMMYFUNCTION("""COMPUTED_VALUE"""),41.85)</f>
        <v>41.85</v>
      </c>
      <c r="C3128" s="1">
        <f>IFERROR(__xludf.DUMMYFUNCTION("""COMPUTED_VALUE"""),42.84)</f>
        <v>42.84</v>
      </c>
      <c r="D3128" s="1">
        <f>IFERROR(__xludf.DUMMYFUNCTION("""COMPUTED_VALUE"""),41.74)</f>
        <v>41.74</v>
      </c>
      <c r="E3128" s="1">
        <f>IFERROR(__xludf.DUMMYFUNCTION("""COMPUTED_VALUE"""),42.69)</f>
        <v>42.69</v>
      </c>
      <c r="F3128" s="1">
        <f>IFERROR(__xludf.DUMMYFUNCTION("""COMPUTED_VALUE"""),271428.0)</f>
        <v>271428</v>
      </c>
    </row>
    <row r="3129">
      <c r="A3129" s="2">
        <f>IFERROR(__xludf.DUMMYFUNCTION("""COMPUTED_VALUE"""),44720.66666666667)</f>
        <v>44720.66667</v>
      </c>
      <c r="B3129" s="1">
        <f>IFERROR(__xludf.DUMMYFUNCTION("""COMPUTED_VALUE"""),42.23)</f>
        <v>42.23</v>
      </c>
      <c r="C3129" s="1">
        <f>IFERROR(__xludf.DUMMYFUNCTION("""COMPUTED_VALUE"""),42.45)</f>
        <v>42.45</v>
      </c>
      <c r="D3129" s="1">
        <f>IFERROR(__xludf.DUMMYFUNCTION("""COMPUTED_VALUE"""),41.85)</f>
        <v>41.85</v>
      </c>
      <c r="E3129" s="1">
        <f>IFERROR(__xludf.DUMMYFUNCTION("""COMPUTED_VALUE"""),42.22)</f>
        <v>42.22</v>
      </c>
      <c r="F3129" s="1">
        <f>IFERROR(__xludf.DUMMYFUNCTION("""COMPUTED_VALUE"""),269305.0)</f>
        <v>269305</v>
      </c>
    </row>
    <row r="3130">
      <c r="A3130" s="2">
        <f>IFERROR(__xludf.DUMMYFUNCTION("""COMPUTED_VALUE"""),44721.66666666667)</f>
        <v>44721.66667</v>
      </c>
      <c r="B3130" s="1">
        <f>IFERROR(__xludf.DUMMYFUNCTION("""COMPUTED_VALUE"""),41.97)</f>
        <v>41.97</v>
      </c>
      <c r="C3130" s="1">
        <f>IFERROR(__xludf.DUMMYFUNCTION("""COMPUTED_VALUE"""),42.19)</f>
        <v>42.19</v>
      </c>
      <c r="D3130" s="1">
        <f>IFERROR(__xludf.DUMMYFUNCTION("""COMPUTED_VALUE"""),40.85)</f>
        <v>40.85</v>
      </c>
      <c r="E3130" s="1">
        <f>IFERROR(__xludf.DUMMYFUNCTION("""COMPUTED_VALUE"""),40.87)</f>
        <v>40.87</v>
      </c>
      <c r="F3130" s="1">
        <f>IFERROR(__xludf.DUMMYFUNCTION("""COMPUTED_VALUE"""),307474.0)</f>
        <v>307474</v>
      </c>
    </row>
    <row r="3131">
      <c r="A3131" s="2">
        <f>IFERROR(__xludf.DUMMYFUNCTION("""COMPUTED_VALUE"""),44722.66666666667)</f>
        <v>44722.66667</v>
      </c>
      <c r="B3131" s="1">
        <f>IFERROR(__xludf.DUMMYFUNCTION("""COMPUTED_VALUE"""),39.96)</f>
        <v>39.96</v>
      </c>
      <c r="C3131" s="1">
        <f>IFERROR(__xludf.DUMMYFUNCTION("""COMPUTED_VALUE"""),40.56)</f>
        <v>40.56</v>
      </c>
      <c r="D3131" s="1">
        <f>IFERROR(__xludf.DUMMYFUNCTION("""COMPUTED_VALUE"""),39.32)</f>
        <v>39.32</v>
      </c>
      <c r="E3131" s="1">
        <f>IFERROR(__xludf.DUMMYFUNCTION("""COMPUTED_VALUE"""),39.52)</f>
        <v>39.52</v>
      </c>
      <c r="F3131" s="1">
        <f>IFERROR(__xludf.DUMMYFUNCTION("""COMPUTED_VALUE"""),375891.0)</f>
        <v>375891</v>
      </c>
    </row>
    <row r="3132">
      <c r="A3132" s="2">
        <f>IFERROR(__xludf.DUMMYFUNCTION("""COMPUTED_VALUE"""),44725.66666666667)</f>
        <v>44725.66667</v>
      </c>
      <c r="B3132" s="1">
        <f>IFERROR(__xludf.DUMMYFUNCTION("""COMPUTED_VALUE"""),38.54)</f>
        <v>38.54</v>
      </c>
      <c r="C3132" s="1">
        <f>IFERROR(__xludf.DUMMYFUNCTION("""COMPUTED_VALUE"""),39.12)</f>
        <v>39.12</v>
      </c>
      <c r="D3132" s="1">
        <f>IFERROR(__xludf.DUMMYFUNCTION("""COMPUTED_VALUE"""),38.25)</f>
        <v>38.25</v>
      </c>
      <c r="E3132" s="1">
        <f>IFERROR(__xludf.DUMMYFUNCTION("""COMPUTED_VALUE"""),38.48)</f>
        <v>38.48</v>
      </c>
      <c r="F3132" s="1">
        <f>IFERROR(__xludf.DUMMYFUNCTION("""COMPUTED_VALUE"""),344904.0)</f>
        <v>344904</v>
      </c>
    </row>
    <row r="3133">
      <c r="A3133" s="2">
        <f>IFERROR(__xludf.DUMMYFUNCTION("""COMPUTED_VALUE"""),44726.66666666667)</f>
        <v>44726.66667</v>
      </c>
      <c r="B3133" s="1">
        <f>IFERROR(__xludf.DUMMYFUNCTION("""COMPUTED_VALUE"""),38.99)</f>
        <v>38.99</v>
      </c>
      <c r="C3133" s="1">
        <f>IFERROR(__xludf.DUMMYFUNCTION("""COMPUTED_VALUE"""),39.12)</f>
        <v>39.12</v>
      </c>
      <c r="D3133" s="1">
        <f>IFERROR(__xludf.DUMMYFUNCTION("""COMPUTED_VALUE"""),37.56)</f>
        <v>37.56</v>
      </c>
      <c r="E3133" s="1">
        <f>IFERROR(__xludf.DUMMYFUNCTION("""COMPUTED_VALUE"""),38.55)</f>
        <v>38.55</v>
      </c>
      <c r="F3133" s="1">
        <f>IFERROR(__xludf.DUMMYFUNCTION("""COMPUTED_VALUE"""),488565.0)</f>
        <v>488565</v>
      </c>
    </row>
    <row r="3134">
      <c r="A3134" s="2">
        <f>IFERROR(__xludf.DUMMYFUNCTION("""COMPUTED_VALUE"""),44727.66666666667)</f>
        <v>44727.66667</v>
      </c>
      <c r="B3134" s="1">
        <f>IFERROR(__xludf.DUMMYFUNCTION("""COMPUTED_VALUE"""),38.86)</f>
        <v>38.86</v>
      </c>
      <c r="C3134" s="1">
        <f>IFERROR(__xludf.DUMMYFUNCTION("""COMPUTED_VALUE"""),39.73)</f>
        <v>39.73</v>
      </c>
      <c r="D3134" s="1">
        <f>IFERROR(__xludf.DUMMYFUNCTION("""COMPUTED_VALUE"""),38.65)</f>
        <v>38.65</v>
      </c>
      <c r="E3134" s="1">
        <f>IFERROR(__xludf.DUMMYFUNCTION("""COMPUTED_VALUE"""),39.16)</f>
        <v>39.16</v>
      </c>
      <c r="F3134" s="1">
        <f>IFERROR(__xludf.DUMMYFUNCTION("""COMPUTED_VALUE"""),451417.0)</f>
        <v>451417</v>
      </c>
    </row>
    <row r="3135">
      <c r="A3135" s="2">
        <f>IFERROR(__xludf.DUMMYFUNCTION("""COMPUTED_VALUE"""),44728.66666666667)</f>
        <v>44728.66667</v>
      </c>
      <c r="B3135" s="1">
        <f>IFERROR(__xludf.DUMMYFUNCTION("""COMPUTED_VALUE"""),38.49)</f>
        <v>38.49</v>
      </c>
      <c r="C3135" s="1">
        <f>IFERROR(__xludf.DUMMYFUNCTION("""COMPUTED_VALUE"""),39.07)</f>
        <v>39.07</v>
      </c>
      <c r="D3135" s="1">
        <f>IFERROR(__xludf.DUMMYFUNCTION("""COMPUTED_VALUE"""),37.37)</f>
        <v>37.37</v>
      </c>
      <c r="E3135" s="1">
        <f>IFERROR(__xludf.DUMMYFUNCTION("""COMPUTED_VALUE"""),37.6)</f>
        <v>37.6</v>
      </c>
      <c r="F3135" s="1">
        <f>IFERROR(__xludf.DUMMYFUNCTION("""COMPUTED_VALUE"""),483612.0)</f>
        <v>483612</v>
      </c>
    </row>
    <row r="3136">
      <c r="A3136" s="2">
        <f>IFERROR(__xludf.DUMMYFUNCTION("""COMPUTED_VALUE"""),44729.66666666667)</f>
        <v>44729.66667</v>
      </c>
      <c r="B3136" s="1">
        <f>IFERROR(__xludf.DUMMYFUNCTION("""COMPUTED_VALUE"""),37.99)</f>
        <v>37.99</v>
      </c>
      <c r="C3136" s="1">
        <f>IFERROR(__xludf.DUMMYFUNCTION("""COMPUTED_VALUE"""),38.53)</f>
        <v>38.53</v>
      </c>
      <c r="D3136" s="1">
        <f>IFERROR(__xludf.DUMMYFUNCTION("""COMPUTED_VALUE"""),37.7)</f>
        <v>37.7</v>
      </c>
      <c r="E3136" s="1">
        <f>IFERROR(__xludf.DUMMYFUNCTION("""COMPUTED_VALUE"""),38.16)</f>
        <v>38.16</v>
      </c>
      <c r="F3136" s="1">
        <f>IFERROR(__xludf.DUMMYFUNCTION("""COMPUTED_VALUE"""),990730.0)</f>
        <v>990730</v>
      </c>
    </row>
    <row r="3137">
      <c r="A3137" s="2">
        <f>IFERROR(__xludf.DUMMYFUNCTION("""COMPUTED_VALUE"""),44733.66666666667)</f>
        <v>44733.66667</v>
      </c>
      <c r="B3137" s="1">
        <f>IFERROR(__xludf.DUMMYFUNCTION("""COMPUTED_VALUE"""),39.11)</f>
        <v>39.11</v>
      </c>
      <c r="C3137" s="1">
        <f>IFERROR(__xludf.DUMMYFUNCTION("""COMPUTED_VALUE"""),39.26)</f>
        <v>39.26</v>
      </c>
      <c r="D3137" s="1">
        <f>IFERROR(__xludf.DUMMYFUNCTION("""COMPUTED_VALUE"""),38.59)</f>
        <v>38.59</v>
      </c>
      <c r="E3137" s="1">
        <f>IFERROR(__xludf.DUMMYFUNCTION("""COMPUTED_VALUE"""),39.02)</f>
        <v>39.02</v>
      </c>
      <c r="F3137" s="1">
        <f>IFERROR(__xludf.DUMMYFUNCTION("""COMPUTED_VALUE"""),325205.0)</f>
        <v>325205</v>
      </c>
    </row>
    <row r="3138">
      <c r="A3138" s="2">
        <f>IFERROR(__xludf.DUMMYFUNCTION("""COMPUTED_VALUE"""),44734.66666666667)</f>
        <v>44734.66667</v>
      </c>
      <c r="B3138" s="1">
        <f>IFERROR(__xludf.DUMMYFUNCTION("""COMPUTED_VALUE"""),38.53)</f>
        <v>38.53</v>
      </c>
      <c r="C3138" s="1">
        <f>IFERROR(__xludf.DUMMYFUNCTION("""COMPUTED_VALUE"""),38.86)</f>
        <v>38.86</v>
      </c>
      <c r="D3138" s="1">
        <f>IFERROR(__xludf.DUMMYFUNCTION("""COMPUTED_VALUE"""),38.4)</f>
        <v>38.4</v>
      </c>
      <c r="E3138" s="1">
        <f>IFERROR(__xludf.DUMMYFUNCTION("""COMPUTED_VALUE"""),38.71)</f>
        <v>38.71</v>
      </c>
      <c r="F3138" s="1">
        <f>IFERROR(__xludf.DUMMYFUNCTION("""COMPUTED_VALUE"""),315960.0)</f>
        <v>315960</v>
      </c>
    </row>
    <row r="3139">
      <c r="A3139" s="2">
        <f>IFERROR(__xludf.DUMMYFUNCTION("""COMPUTED_VALUE"""),44735.66666666667)</f>
        <v>44735.66667</v>
      </c>
      <c r="B3139" s="1">
        <f>IFERROR(__xludf.DUMMYFUNCTION("""COMPUTED_VALUE"""),38.72)</f>
        <v>38.72</v>
      </c>
      <c r="C3139" s="1">
        <f>IFERROR(__xludf.DUMMYFUNCTION("""COMPUTED_VALUE"""),38.78)</f>
        <v>38.78</v>
      </c>
      <c r="D3139" s="1">
        <f>IFERROR(__xludf.DUMMYFUNCTION("""COMPUTED_VALUE"""),37.8)</f>
        <v>37.8</v>
      </c>
      <c r="E3139" s="1">
        <f>IFERROR(__xludf.DUMMYFUNCTION("""COMPUTED_VALUE"""),38.39)</f>
        <v>38.39</v>
      </c>
      <c r="F3139" s="1">
        <f>IFERROR(__xludf.DUMMYFUNCTION("""COMPUTED_VALUE"""),213578.0)</f>
        <v>213578</v>
      </c>
    </row>
    <row r="3140">
      <c r="A3140" s="2">
        <f>IFERROR(__xludf.DUMMYFUNCTION("""COMPUTED_VALUE"""),44736.66666666667)</f>
        <v>44736.66667</v>
      </c>
      <c r="B3140" s="1">
        <f>IFERROR(__xludf.DUMMYFUNCTION("""COMPUTED_VALUE"""),38.55)</f>
        <v>38.55</v>
      </c>
      <c r="C3140" s="1">
        <f>IFERROR(__xludf.DUMMYFUNCTION("""COMPUTED_VALUE"""),39.63)</f>
        <v>39.63</v>
      </c>
      <c r="D3140" s="1">
        <f>IFERROR(__xludf.DUMMYFUNCTION("""COMPUTED_VALUE"""),38.55)</f>
        <v>38.55</v>
      </c>
      <c r="E3140" s="1">
        <f>IFERROR(__xludf.DUMMYFUNCTION("""COMPUTED_VALUE"""),39.58)</f>
        <v>39.58</v>
      </c>
      <c r="F3140" s="1">
        <f>IFERROR(__xludf.DUMMYFUNCTION("""COMPUTED_VALUE"""),662694.0)</f>
        <v>662694</v>
      </c>
    </row>
    <row r="3141">
      <c r="A3141" s="2">
        <f>IFERROR(__xludf.DUMMYFUNCTION("""COMPUTED_VALUE"""),44739.66666666667)</f>
        <v>44739.66667</v>
      </c>
      <c r="B3141" s="1">
        <f>IFERROR(__xludf.DUMMYFUNCTION("""COMPUTED_VALUE"""),39.89)</f>
        <v>39.89</v>
      </c>
      <c r="C3141" s="1">
        <f>IFERROR(__xludf.DUMMYFUNCTION("""COMPUTED_VALUE"""),40.29)</f>
        <v>40.29</v>
      </c>
      <c r="D3141" s="1">
        <f>IFERROR(__xludf.DUMMYFUNCTION("""COMPUTED_VALUE"""),39.07)</f>
        <v>39.07</v>
      </c>
      <c r="E3141" s="1">
        <f>IFERROR(__xludf.DUMMYFUNCTION("""COMPUTED_VALUE"""),40.1)</f>
        <v>40.1</v>
      </c>
      <c r="F3141" s="1">
        <f>IFERROR(__xludf.DUMMYFUNCTION("""COMPUTED_VALUE"""),304081.0)</f>
        <v>304081</v>
      </c>
    </row>
    <row r="3142">
      <c r="A3142" s="2">
        <f>IFERROR(__xludf.DUMMYFUNCTION("""COMPUTED_VALUE"""),44740.66666666667)</f>
        <v>44740.66667</v>
      </c>
      <c r="B3142" s="1">
        <f>IFERROR(__xludf.DUMMYFUNCTION("""COMPUTED_VALUE"""),40.26)</f>
        <v>40.26</v>
      </c>
      <c r="C3142" s="1">
        <f>IFERROR(__xludf.DUMMYFUNCTION("""COMPUTED_VALUE"""),40.75)</f>
        <v>40.75</v>
      </c>
      <c r="D3142" s="1">
        <f>IFERROR(__xludf.DUMMYFUNCTION("""COMPUTED_VALUE"""),39.77)</f>
        <v>39.77</v>
      </c>
      <c r="E3142" s="1">
        <f>IFERROR(__xludf.DUMMYFUNCTION("""COMPUTED_VALUE"""),39.77)</f>
        <v>39.77</v>
      </c>
      <c r="F3142" s="1">
        <f>IFERROR(__xludf.DUMMYFUNCTION("""COMPUTED_VALUE"""),228034.0)</f>
        <v>228034</v>
      </c>
    </row>
    <row r="3143">
      <c r="A3143" s="2">
        <f>IFERROR(__xludf.DUMMYFUNCTION("""COMPUTED_VALUE"""),44741.66666666667)</f>
        <v>44741.66667</v>
      </c>
      <c r="B3143" s="1">
        <f>IFERROR(__xludf.DUMMYFUNCTION("""COMPUTED_VALUE"""),39.94)</f>
        <v>39.94</v>
      </c>
      <c r="C3143" s="1">
        <f>IFERROR(__xludf.DUMMYFUNCTION("""COMPUTED_VALUE"""),40.02)</f>
        <v>40.02</v>
      </c>
      <c r="D3143" s="1">
        <f>IFERROR(__xludf.DUMMYFUNCTION("""COMPUTED_VALUE"""),39.18)</f>
        <v>39.18</v>
      </c>
      <c r="E3143" s="1">
        <f>IFERROR(__xludf.DUMMYFUNCTION("""COMPUTED_VALUE"""),39.6)</f>
        <v>39.6</v>
      </c>
      <c r="F3143" s="1">
        <f>IFERROR(__xludf.DUMMYFUNCTION("""COMPUTED_VALUE"""),240056.0)</f>
        <v>240056</v>
      </c>
    </row>
    <row r="3144">
      <c r="A3144" s="2">
        <f>IFERROR(__xludf.DUMMYFUNCTION("""COMPUTED_VALUE"""),44742.66666666667)</f>
        <v>44742.66667</v>
      </c>
      <c r="B3144" s="1">
        <f>IFERROR(__xludf.DUMMYFUNCTION("""COMPUTED_VALUE"""),38.72)</f>
        <v>38.72</v>
      </c>
      <c r="C3144" s="1">
        <f>IFERROR(__xludf.DUMMYFUNCTION("""COMPUTED_VALUE"""),39.4)</f>
        <v>39.4</v>
      </c>
      <c r="D3144" s="1">
        <f>IFERROR(__xludf.DUMMYFUNCTION("""COMPUTED_VALUE"""),38.51)</f>
        <v>38.51</v>
      </c>
      <c r="E3144" s="1">
        <f>IFERROR(__xludf.DUMMYFUNCTION("""COMPUTED_VALUE"""),39.15)</f>
        <v>39.15</v>
      </c>
      <c r="F3144" s="1">
        <f>IFERROR(__xludf.DUMMYFUNCTION("""COMPUTED_VALUE"""),254972.0)</f>
        <v>254972</v>
      </c>
    </row>
    <row r="3145">
      <c r="A3145" s="2">
        <f>IFERROR(__xludf.DUMMYFUNCTION("""COMPUTED_VALUE"""),44743.66666666667)</f>
        <v>44743.66667</v>
      </c>
      <c r="B3145" s="1">
        <f>IFERROR(__xludf.DUMMYFUNCTION("""COMPUTED_VALUE"""),38.93)</f>
        <v>38.93</v>
      </c>
      <c r="C3145" s="1">
        <f>IFERROR(__xludf.DUMMYFUNCTION("""COMPUTED_VALUE"""),39.99)</f>
        <v>39.99</v>
      </c>
      <c r="D3145" s="1">
        <f>IFERROR(__xludf.DUMMYFUNCTION("""COMPUTED_VALUE"""),38.69)</f>
        <v>38.69</v>
      </c>
      <c r="E3145" s="1">
        <f>IFERROR(__xludf.DUMMYFUNCTION("""COMPUTED_VALUE"""),39.86)</f>
        <v>39.86</v>
      </c>
      <c r="F3145" s="1">
        <f>IFERROR(__xludf.DUMMYFUNCTION("""COMPUTED_VALUE"""),327870.0)</f>
        <v>327870</v>
      </c>
    </row>
    <row r="3146">
      <c r="A3146" s="2">
        <f>IFERROR(__xludf.DUMMYFUNCTION("""COMPUTED_VALUE"""),44747.66666666667)</f>
        <v>44747.66667</v>
      </c>
      <c r="B3146" s="1">
        <f>IFERROR(__xludf.DUMMYFUNCTION("""COMPUTED_VALUE"""),39.08)</f>
        <v>39.08</v>
      </c>
      <c r="C3146" s="1">
        <f>IFERROR(__xludf.DUMMYFUNCTION("""COMPUTED_VALUE"""),39.59)</f>
        <v>39.59</v>
      </c>
      <c r="D3146" s="1">
        <f>IFERROR(__xludf.DUMMYFUNCTION("""COMPUTED_VALUE"""),38.33)</f>
        <v>38.33</v>
      </c>
      <c r="E3146" s="1">
        <f>IFERROR(__xludf.DUMMYFUNCTION("""COMPUTED_VALUE"""),39.43)</f>
        <v>39.43</v>
      </c>
      <c r="F3146" s="1">
        <f>IFERROR(__xludf.DUMMYFUNCTION("""COMPUTED_VALUE"""),235941.0)</f>
        <v>235941</v>
      </c>
    </row>
    <row r="3147">
      <c r="A3147" s="2">
        <f>IFERROR(__xludf.DUMMYFUNCTION("""COMPUTED_VALUE"""),44748.66666666667)</f>
        <v>44748.66667</v>
      </c>
      <c r="B3147" s="1">
        <f>IFERROR(__xludf.DUMMYFUNCTION("""COMPUTED_VALUE"""),39.14)</f>
        <v>39.14</v>
      </c>
      <c r="C3147" s="1">
        <f>IFERROR(__xludf.DUMMYFUNCTION("""COMPUTED_VALUE"""),39.85)</f>
        <v>39.85</v>
      </c>
      <c r="D3147" s="1">
        <f>IFERROR(__xludf.DUMMYFUNCTION("""COMPUTED_VALUE"""),38.92)</f>
        <v>38.92</v>
      </c>
      <c r="E3147" s="1">
        <f>IFERROR(__xludf.DUMMYFUNCTION("""COMPUTED_VALUE"""),39.66)</f>
        <v>39.66</v>
      </c>
      <c r="F3147" s="1">
        <f>IFERROR(__xludf.DUMMYFUNCTION("""COMPUTED_VALUE"""),267016.0)</f>
        <v>267016</v>
      </c>
    </row>
    <row r="3148">
      <c r="A3148" s="2">
        <f>IFERROR(__xludf.DUMMYFUNCTION("""COMPUTED_VALUE"""),44749.66666666667)</f>
        <v>44749.66667</v>
      </c>
      <c r="B3148" s="1">
        <f>IFERROR(__xludf.DUMMYFUNCTION("""COMPUTED_VALUE"""),40.07)</f>
        <v>40.07</v>
      </c>
      <c r="C3148" s="1">
        <f>IFERROR(__xludf.DUMMYFUNCTION("""COMPUTED_VALUE"""),40.58)</f>
        <v>40.58</v>
      </c>
      <c r="D3148" s="1">
        <f>IFERROR(__xludf.DUMMYFUNCTION("""COMPUTED_VALUE"""),39.88)</f>
        <v>39.88</v>
      </c>
      <c r="E3148" s="1">
        <f>IFERROR(__xludf.DUMMYFUNCTION("""COMPUTED_VALUE"""),40.04)</f>
        <v>40.04</v>
      </c>
      <c r="F3148" s="1">
        <f>IFERROR(__xludf.DUMMYFUNCTION("""COMPUTED_VALUE"""),192804.0)</f>
        <v>192804</v>
      </c>
    </row>
    <row r="3149">
      <c r="A3149" s="2">
        <f>IFERROR(__xludf.DUMMYFUNCTION("""COMPUTED_VALUE"""),44750.66666666667)</f>
        <v>44750.66667</v>
      </c>
      <c r="B3149" s="1">
        <f>IFERROR(__xludf.DUMMYFUNCTION("""COMPUTED_VALUE"""),40.21)</f>
        <v>40.21</v>
      </c>
      <c r="C3149" s="1">
        <f>IFERROR(__xludf.DUMMYFUNCTION("""COMPUTED_VALUE"""),40.22)</f>
        <v>40.22</v>
      </c>
      <c r="D3149" s="1">
        <f>IFERROR(__xludf.DUMMYFUNCTION("""COMPUTED_VALUE"""),39.14)</f>
        <v>39.14</v>
      </c>
      <c r="E3149" s="1">
        <f>IFERROR(__xludf.DUMMYFUNCTION("""COMPUTED_VALUE"""),39.8)</f>
        <v>39.8</v>
      </c>
      <c r="F3149" s="1">
        <f>IFERROR(__xludf.DUMMYFUNCTION("""COMPUTED_VALUE"""),130695.0)</f>
        <v>130695</v>
      </c>
    </row>
    <row r="3150">
      <c r="A3150" s="2">
        <f>IFERROR(__xludf.DUMMYFUNCTION("""COMPUTED_VALUE"""),44753.66666666667)</f>
        <v>44753.66667</v>
      </c>
      <c r="B3150" s="1">
        <f>IFERROR(__xludf.DUMMYFUNCTION("""COMPUTED_VALUE"""),39.4)</f>
        <v>39.4</v>
      </c>
      <c r="C3150" s="1">
        <f>IFERROR(__xludf.DUMMYFUNCTION("""COMPUTED_VALUE"""),39.75)</f>
        <v>39.75</v>
      </c>
      <c r="D3150" s="1">
        <f>IFERROR(__xludf.DUMMYFUNCTION("""COMPUTED_VALUE"""),39.31)</f>
        <v>39.31</v>
      </c>
      <c r="E3150" s="1">
        <f>IFERROR(__xludf.DUMMYFUNCTION("""COMPUTED_VALUE"""),39.55)</f>
        <v>39.55</v>
      </c>
      <c r="F3150" s="1">
        <f>IFERROR(__xludf.DUMMYFUNCTION("""COMPUTED_VALUE"""),125914.0)</f>
        <v>125914</v>
      </c>
    </row>
    <row r="3151">
      <c r="A3151" s="2">
        <f>IFERROR(__xludf.DUMMYFUNCTION("""COMPUTED_VALUE"""),44754.66666666667)</f>
        <v>44754.66667</v>
      </c>
      <c r="B3151" s="1">
        <f>IFERROR(__xludf.DUMMYFUNCTION("""COMPUTED_VALUE"""),39.26)</f>
        <v>39.26</v>
      </c>
      <c r="C3151" s="1">
        <f>IFERROR(__xludf.DUMMYFUNCTION("""COMPUTED_VALUE"""),40.08)</f>
        <v>40.08</v>
      </c>
      <c r="D3151" s="1">
        <f>IFERROR(__xludf.DUMMYFUNCTION("""COMPUTED_VALUE"""),39.05)</f>
        <v>39.05</v>
      </c>
      <c r="E3151" s="1">
        <f>IFERROR(__xludf.DUMMYFUNCTION("""COMPUTED_VALUE"""),39.53)</f>
        <v>39.53</v>
      </c>
      <c r="F3151" s="1">
        <f>IFERROR(__xludf.DUMMYFUNCTION("""COMPUTED_VALUE"""),160979.0)</f>
        <v>160979</v>
      </c>
    </row>
    <row r="3152">
      <c r="A3152" s="2">
        <f>IFERROR(__xludf.DUMMYFUNCTION("""COMPUTED_VALUE"""),44755.66666666667)</f>
        <v>44755.66667</v>
      </c>
      <c r="B3152" s="1">
        <f>IFERROR(__xludf.DUMMYFUNCTION("""COMPUTED_VALUE"""),39.43)</f>
        <v>39.43</v>
      </c>
      <c r="C3152" s="1">
        <f>IFERROR(__xludf.DUMMYFUNCTION("""COMPUTED_VALUE"""),39.53)</f>
        <v>39.53</v>
      </c>
      <c r="D3152" s="1">
        <f>IFERROR(__xludf.DUMMYFUNCTION("""COMPUTED_VALUE"""),38.68)</f>
        <v>38.68</v>
      </c>
      <c r="E3152" s="1">
        <f>IFERROR(__xludf.DUMMYFUNCTION("""COMPUTED_VALUE"""),38.99)</f>
        <v>38.99</v>
      </c>
      <c r="F3152" s="1">
        <f>IFERROR(__xludf.DUMMYFUNCTION("""COMPUTED_VALUE"""),176569.0)</f>
        <v>176569</v>
      </c>
    </row>
    <row r="3153">
      <c r="A3153" s="2">
        <f>IFERROR(__xludf.DUMMYFUNCTION("""COMPUTED_VALUE"""),44756.66666666667)</f>
        <v>44756.66667</v>
      </c>
      <c r="B3153" s="1">
        <f>IFERROR(__xludf.DUMMYFUNCTION("""COMPUTED_VALUE"""),38.19)</f>
        <v>38.19</v>
      </c>
      <c r="C3153" s="1">
        <f>IFERROR(__xludf.DUMMYFUNCTION("""COMPUTED_VALUE"""),38.84)</f>
        <v>38.84</v>
      </c>
      <c r="D3153" s="1">
        <f>IFERROR(__xludf.DUMMYFUNCTION("""COMPUTED_VALUE"""),37.8)</f>
        <v>37.8</v>
      </c>
      <c r="E3153" s="1">
        <f>IFERROR(__xludf.DUMMYFUNCTION("""COMPUTED_VALUE"""),38.45)</f>
        <v>38.45</v>
      </c>
      <c r="F3153" s="1">
        <f>IFERROR(__xludf.DUMMYFUNCTION("""COMPUTED_VALUE"""),192306.0)</f>
        <v>192306</v>
      </c>
    </row>
    <row r="3154">
      <c r="A3154" s="2">
        <f>IFERROR(__xludf.DUMMYFUNCTION("""COMPUTED_VALUE"""),44757.66666666667)</f>
        <v>44757.66667</v>
      </c>
      <c r="B3154" s="1">
        <f>IFERROR(__xludf.DUMMYFUNCTION("""COMPUTED_VALUE"""),39.26)</f>
        <v>39.26</v>
      </c>
      <c r="C3154" s="1">
        <f>IFERROR(__xludf.DUMMYFUNCTION("""COMPUTED_VALUE"""),39.78)</f>
        <v>39.78</v>
      </c>
      <c r="D3154" s="1">
        <f>IFERROR(__xludf.DUMMYFUNCTION("""COMPUTED_VALUE"""),38.62)</f>
        <v>38.62</v>
      </c>
      <c r="E3154" s="1">
        <f>IFERROR(__xludf.DUMMYFUNCTION("""COMPUTED_VALUE"""),39.49)</f>
        <v>39.49</v>
      </c>
      <c r="F3154" s="1">
        <f>IFERROR(__xludf.DUMMYFUNCTION("""COMPUTED_VALUE"""),208418.0)</f>
        <v>208418</v>
      </c>
    </row>
    <row r="3155">
      <c r="A3155" s="2">
        <f>IFERROR(__xludf.DUMMYFUNCTION("""COMPUTED_VALUE"""),44760.66666666667)</f>
        <v>44760.66667</v>
      </c>
      <c r="B3155" s="1">
        <f>IFERROR(__xludf.DUMMYFUNCTION("""COMPUTED_VALUE"""),39.88)</f>
        <v>39.88</v>
      </c>
      <c r="C3155" s="1">
        <f>IFERROR(__xludf.DUMMYFUNCTION("""COMPUTED_VALUE"""),40.36)</f>
        <v>40.36</v>
      </c>
      <c r="D3155" s="1">
        <f>IFERROR(__xludf.DUMMYFUNCTION("""COMPUTED_VALUE"""),39.45)</f>
        <v>39.45</v>
      </c>
      <c r="E3155" s="1">
        <f>IFERROR(__xludf.DUMMYFUNCTION("""COMPUTED_VALUE"""),39.59)</f>
        <v>39.59</v>
      </c>
      <c r="F3155" s="1">
        <f>IFERROR(__xludf.DUMMYFUNCTION("""COMPUTED_VALUE"""),168847.0)</f>
        <v>168847</v>
      </c>
    </row>
    <row r="3156">
      <c r="A3156" s="2">
        <f>IFERROR(__xludf.DUMMYFUNCTION("""COMPUTED_VALUE"""),44761.66666666667)</f>
        <v>44761.66667</v>
      </c>
      <c r="B3156" s="1">
        <f>IFERROR(__xludf.DUMMYFUNCTION("""COMPUTED_VALUE"""),40.08)</f>
        <v>40.08</v>
      </c>
      <c r="C3156" s="1">
        <f>IFERROR(__xludf.DUMMYFUNCTION("""COMPUTED_VALUE"""),40.85)</f>
        <v>40.85</v>
      </c>
      <c r="D3156" s="1">
        <f>IFERROR(__xludf.DUMMYFUNCTION("""COMPUTED_VALUE"""),40.08)</f>
        <v>40.08</v>
      </c>
      <c r="E3156" s="1">
        <f>IFERROR(__xludf.DUMMYFUNCTION("""COMPUTED_VALUE"""),40.78)</f>
        <v>40.78</v>
      </c>
      <c r="F3156" s="1">
        <f>IFERROR(__xludf.DUMMYFUNCTION("""COMPUTED_VALUE"""),235162.0)</f>
        <v>235162</v>
      </c>
    </row>
    <row r="3157">
      <c r="A3157" s="2">
        <f>IFERROR(__xludf.DUMMYFUNCTION("""COMPUTED_VALUE"""),44762.66666666667)</f>
        <v>44762.66667</v>
      </c>
      <c r="B3157" s="1">
        <f>IFERROR(__xludf.DUMMYFUNCTION("""COMPUTED_VALUE"""),40.47)</f>
        <v>40.47</v>
      </c>
      <c r="C3157" s="1">
        <f>IFERROR(__xludf.DUMMYFUNCTION("""COMPUTED_VALUE"""),41.29)</f>
        <v>41.29</v>
      </c>
      <c r="D3157" s="1">
        <f>IFERROR(__xludf.DUMMYFUNCTION("""COMPUTED_VALUE"""),40.47)</f>
        <v>40.47</v>
      </c>
      <c r="E3157" s="1">
        <f>IFERROR(__xludf.DUMMYFUNCTION("""COMPUTED_VALUE"""),41.25)</f>
        <v>41.25</v>
      </c>
      <c r="F3157" s="1">
        <f>IFERROR(__xludf.DUMMYFUNCTION("""COMPUTED_VALUE"""),283617.0)</f>
        <v>283617</v>
      </c>
    </row>
    <row r="3158">
      <c r="A3158" s="2">
        <f>IFERROR(__xludf.DUMMYFUNCTION("""COMPUTED_VALUE"""),44763.66666666667)</f>
        <v>44763.66667</v>
      </c>
      <c r="B3158" s="1">
        <f>IFERROR(__xludf.DUMMYFUNCTION("""COMPUTED_VALUE"""),41.01)</f>
        <v>41.01</v>
      </c>
      <c r="C3158" s="1">
        <f>IFERROR(__xludf.DUMMYFUNCTION("""COMPUTED_VALUE"""),41.3)</f>
        <v>41.3</v>
      </c>
      <c r="D3158" s="1">
        <f>IFERROR(__xludf.DUMMYFUNCTION("""COMPUTED_VALUE"""),40.57)</f>
        <v>40.57</v>
      </c>
      <c r="E3158" s="1">
        <f>IFERROR(__xludf.DUMMYFUNCTION("""COMPUTED_VALUE"""),41.27)</f>
        <v>41.27</v>
      </c>
      <c r="F3158" s="1">
        <f>IFERROR(__xludf.DUMMYFUNCTION("""COMPUTED_VALUE"""),141732.0)</f>
        <v>141732</v>
      </c>
    </row>
    <row r="3159">
      <c r="A3159" s="2">
        <f>IFERROR(__xludf.DUMMYFUNCTION("""COMPUTED_VALUE"""),44764.66666666667)</f>
        <v>44764.66667</v>
      </c>
      <c r="B3159" s="1">
        <f>IFERROR(__xludf.DUMMYFUNCTION("""COMPUTED_VALUE"""),41.21)</f>
        <v>41.21</v>
      </c>
      <c r="C3159" s="1">
        <f>IFERROR(__xludf.DUMMYFUNCTION("""COMPUTED_VALUE"""),41.43)</f>
        <v>41.43</v>
      </c>
      <c r="D3159" s="1">
        <f>IFERROR(__xludf.DUMMYFUNCTION("""COMPUTED_VALUE"""),40.54)</f>
        <v>40.54</v>
      </c>
      <c r="E3159" s="1">
        <f>IFERROR(__xludf.DUMMYFUNCTION("""COMPUTED_VALUE"""),40.91)</f>
        <v>40.91</v>
      </c>
      <c r="F3159" s="1">
        <f>IFERROR(__xludf.DUMMYFUNCTION("""COMPUTED_VALUE"""),181609.0)</f>
        <v>181609</v>
      </c>
    </row>
    <row r="3160">
      <c r="A3160" s="2">
        <f>IFERROR(__xludf.DUMMYFUNCTION("""COMPUTED_VALUE"""),44767.66666666667)</f>
        <v>44767.66667</v>
      </c>
      <c r="B3160" s="1">
        <f>IFERROR(__xludf.DUMMYFUNCTION("""COMPUTED_VALUE"""),41.26)</f>
        <v>41.26</v>
      </c>
      <c r="C3160" s="1">
        <f>IFERROR(__xludf.DUMMYFUNCTION("""COMPUTED_VALUE"""),41.77)</f>
        <v>41.77</v>
      </c>
      <c r="D3160" s="1">
        <f>IFERROR(__xludf.DUMMYFUNCTION("""COMPUTED_VALUE"""),41.12)</f>
        <v>41.12</v>
      </c>
      <c r="E3160" s="1">
        <f>IFERROR(__xludf.DUMMYFUNCTION("""COMPUTED_VALUE"""),41.51)</f>
        <v>41.51</v>
      </c>
      <c r="F3160" s="1">
        <f>IFERROR(__xludf.DUMMYFUNCTION("""COMPUTED_VALUE"""),183208.0)</f>
        <v>183208</v>
      </c>
    </row>
    <row r="3161">
      <c r="A3161" s="2">
        <f>IFERROR(__xludf.DUMMYFUNCTION("""COMPUTED_VALUE"""),44768.66666666667)</f>
        <v>44768.66667</v>
      </c>
      <c r="B3161" s="1">
        <f>IFERROR(__xludf.DUMMYFUNCTION("""COMPUTED_VALUE"""),40.71)</f>
        <v>40.71</v>
      </c>
      <c r="C3161" s="1">
        <f>IFERROR(__xludf.DUMMYFUNCTION("""COMPUTED_VALUE"""),41.73)</f>
        <v>41.73</v>
      </c>
      <c r="D3161" s="1">
        <f>IFERROR(__xludf.DUMMYFUNCTION("""COMPUTED_VALUE"""),40.19)</f>
        <v>40.19</v>
      </c>
      <c r="E3161" s="1">
        <f>IFERROR(__xludf.DUMMYFUNCTION("""COMPUTED_VALUE"""),40.43)</f>
        <v>40.43</v>
      </c>
      <c r="F3161" s="1">
        <f>IFERROR(__xludf.DUMMYFUNCTION("""COMPUTED_VALUE"""),262141.0)</f>
        <v>262141</v>
      </c>
    </row>
    <row r="3162">
      <c r="A3162" s="2">
        <f>IFERROR(__xludf.DUMMYFUNCTION("""COMPUTED_VALUE"""),44769.66666666667)</f>
        <v>44769.66667</v>
      </c>
      <c r="B3162" s="1">
        <f>IFERROR(__xludf.DUMMYFUNCTION("""COMPUTED_VALUE"""),40.45)</f>
        <v>40.45</v>
      </c>
      <c r="C3162" s="1">
        <f>IFERROR(__xludf.DUMMYFUNCTION("""COMPUTED_VALUE"""),41.33)</f>
        <v>41.33</v>
      </c>
      <c r="D3162" s="1">
        <f>IFERROR(__xludf.DUMMYFUNCTION("""COMPUTED_VALUE"""),40.28)</f>
        <v>40.28</v>
      </c>
      <c r="E3162" s="1">
        <f>IFERROR(__xludf.DUMMYFUNCTION("""COMPUTED_VALUE"""),41.17)</f>
        <v>41.17</v>
      </c>
      <c r="F3162" s="1">
        <f>IFERROR(__xludf.DUMMYFUNCTION("""COMPUTED_VALUE"""),316677.0)</f>
        <v>316677</v>
      </c>
    </row>
    <row r="3163">
      <c r="A3163" s="2">
        <f>IFERROR(__xludf.DUMMYFUNCTION("""COMPUTED_VALUE"""),44770.66666666667)</f>
        <v>44770.66667</v>
      </c>
      <c r="B3163" s="1">
        <f>IFERROR(__xludf.DUMMYFUNCTION("""COMPUTED_VALUE"""),41.18)</f>
        <v>41.18</v>
      </c>
      <c r="C3163" s="1">
        <f>IFERROR(__xludf.DUMMYFUNCTION("""COMPUTED_VALUE"""),41.29)</f>
        <v>41.29</v>
      </c>
      <c r="D3163" s="1">
        <f>IFERROR(__xludf.DUMMYFUNCTION("""COMPUTED_VALUE"""),40.58)</f>
        <v>40.58</v>
      </c>
      <c r="E3163" s="1">
        <f>IFERROR(__xludf.DUMMYFUNCTION("""COMPUTED_VALUE"""),41.0)</f>
        <v>41</v>
      </c>
      <c r="F3163" s="1">
        <f>IFERROR(__xludf.DUMMYFUNCTION("""COMPUTED_VALUE"""),306236.0)</f>
        <v>306236</v>
      </c>
    </row>
    <row r="3164">
      <c r="A3164" s="2">
        <f>IFERROR(__xludf.DUMMYFUNCTION("""COMPUTED_VALUE"""),44771.66666666667)</f>
        <v>44771.66667</v>
      </c>
      <c r="B3164" s="1">
        <f>IFERROR(__xludf.DUMMYFUNCTION("""COMPUTED_VALUE"""),41.06)</f>
        <v>41.06</v>
      </c>
      <c r="C3164" s="1">
        <f>IFERROR(__xludf.DUMMYFUNCTION("""COMPUTED_VALUE"""),41.83)</f>
        <v>41.83</v>
      </c>
      <c r="D3164" s="1">
        <f>IFERROR(__xludf.DUMMYFUNCTION("""COMPUTED_VALUE"""),41.06)</f>
        <v>41.06</v>
      </c>
      <c r="E3164" s="1">
        <f>IFERROR(__xludf.DUMMYFUNCTION("""COMPUTED_VALUE"""),41.7)</f>
        <v>41.7</v>
      </c>
      <c r="F3164" s="1">
        <f>IFERROR(__xludf.DUMMYFUNCTION("""COMPUTED_VALUE"""),280949.0)</f>
        <v>280949</v>
      </c>
    </row>
    <row r="3165">
      <c r="A3165" s="2">
        <f>IFERROR(__xludf.DUMMYFUNCTION("""COMPUTED_VALUE"""),44774.66666666667)</f>
        <v>44774.66667</v>
      </c>
      <c r="B3165" s="1">
        <f>IFERROR(__xludf.DUMMYFUNCTION("""COMPUTED_VALUE"""),41.38)</f>
        <v>41.38</v>
      </c>
      <c r="C3165" s="1">
        <f>IFERROR(__xludf.DUMMYFUNCTION("""COMPUTED_VALUE"""),42.18)</f>
        <v>42.18</v>
      </c>
      <c r="D3165" s="1">
        <f>IFERROR(__xludf.DUMMYFUNCTION("""COMPUTED_VALUE"""),41.13)</f>
        <v>41.13</v>
      </c>
      <c r="E3165" s="1">
        <f>IFERROR(__xludf.DUMMYFUNCTION("""COMPUTED_VALUE"""),41.9)</f>
        <v>41.9</v>
      </c>
      <c r="F3165" s="1">
        <f>IFERROR(__xludf.DUMMYFUNCTION("""COMPUTED_VALUE"""),354168.0)</f>
        <v>354168</v>
      </c>
    </row>
    <row r="3166">
      <c r="A3166" s="2">
        <f>IFERROR(__xludf.DUMMYFUNCTION("""COMPUTED_VALUE"""),44775.66666666667)</f>
        <v>44775.66667</v>
      </c>
      <c r="B3166" s="1">
        <f>IFERROR(__xludf.DUMMYFUNCTION("""COMPUTED_VALUE"""),41.77)</f>
        <v>41.77</v>
      </c>
      <c r="C3166" s="1">
        <f>IFERROR(__xludf.DUMMYFUNCTION("""COMPUTED_VALUE"""),41.78)</f>
        <v>41.78</v>
      </c>
      <c r="D3166" s="1">
        <f>IFERROR(__xludf.DUMMYFUNCTION("""COMPUTED_VALUE"""),41.18)</f>
        <v>41.18</v>
      </c>
      <c r="E3166" s="1">
        <f>IFERROR(__xludf.DUMMYFUNCTION("""COMPUTED_VALUE"""),41.27)</f>
        <v>41.27</v>
      </c>
      <c r="F3166" s="1">
        <f>IFERROR(__xludf.DUMMYFUNCTION("""COMPUTED_VALUE"""),211531.0)</f>
        <v>211531</v>
      </c>
    </row>
    <row r="3167">
      <c r="A3167" s="2">
        <f>IFERROR(__xludf.DUMMYFUNCTION("""COMPUTED_VALUE"""),44776.66666666667)</f>
        <v>44776.66667</v>
      </c>
      <c r="B3167" s="1">
        <f>IFERROR(__xludf.DUMMYFUNCTION("""COMPUTED_VALUE"""),41.38)</f>
        <v>41.38</v>
      </c>
      <c r="C3167" s="1">
        <f>IFERROR(__xludf.DUMMYFUNCTION("""COMPUTED_VALUE"""),41.95)</f>
        <v>41.95</v>
      </c>
      <c r="D3167" s="1">
        <f>IFERROR(__xludf.DUMMYFUNCTION("""COMPUTED_VALUE"""),41.21)</f>
        <v>41.21</v>
      </c>
      <c r="E3167" s="1">
        <f>IFERROR(__xludf.DUMMYFUNCTION("""COMPUTED_VALUE"""),41.74)</f>
        <v>41.74</v>
      </c>
      <c r="F3167" s="1">
        <f>IFERROR(__xludf.DUMMYFUNCTION("""COMPUTED_VALUE"""),200733.0)</f>
        <v>200733</v>
      </c>
    </row>
    <row r="3168">
      <c r="A3168" s="2">
        <f>IFERROR(__xludf.DUMMYFUNCTION("""COMPUTED_VALUE"""),44777.66666666667)</f>
        <v>44777.66667</v>
      </c>
      <c r="B3168" s="1">
        <f>IFERROR(__xludf.DUMMYFUNCTION("""COMPUTED_VALUE"""),41.6)</f>
        <v>41.6</v>
      </c>
      <c r="C3168" s="1">
        <f>IFERROR(__xludf.DUMMYFUNCTION("""COMPUTED_VALUE"""),41.83)</f>
        <v>41.83</v>
      </c>
      <c r="D3168" s="1">
        <f>IFERROR(__xludf.DUMMYFUNCTION("""COMPUTED_VALUE"""),41.34)</f>
        <v>41.34</v>
      </c>
      <c r="E3168" s="1">
        <f>IFERROR(__xludf.DUMMYFUNCTION("""COMPUTED_VALUE"""),41.46)</f>
        <v>41.46</v>
      </c>
      <c r="F3168" s="1">
        <f>IFERROR(__xludf.DUMMYFUNCTION("""COMPUTED_VALUE"""),299923.0)</f>
        <v>299923</v>
      </c>
    </row>
    <row r="3169">
      <c r="A3169" s="2">
        <f>IFERROR(__xludf.DUMMYFUNCTION("""COMPUTED_VALUE"""),44778.66666666667)</f>
        <v>44778.66667</v>
      </c>
      <c r="B3169" s="1">
        <f>IFERROR(__xludf.DUMMYFUNCTION("""COMPUTED_VALUE"""),41.43)</f>
        <v>41.43</v>
      </c>
      <c r="C3169" s="1">
        <f>IFERROR(__xludf.DUMMYFUNCTION("""COMPUTED_VALUE"""),42.23)</f>
        <v>42.23</v>
      </c>
      <c r="D3169" s="1">
        <f>IFERROR(__xludf.DUMMYFUNCTION("""COMPUTED_VALUE"""),41.42)</f>
        <v>41.42</v>
      </c>
      <c r="E3169" s="1">
        <f>IFERROR(__xludf.DUMMYFUNCTION("""COMPUTED_VALUE"""),42.06)</f>
        <v>42.06</v>
      </c>
      <c r="F3169" s="1">
        <f>IFERROR(__xludf.DUMMYFUNCTION("""COMPUTED_VALUE"""),203596.0)</f>
        <v>203596</v>
      </c>
    </row>
    <row r="3170">
      <c r="A3170" s="2">
        <f>IFERROR(__xludf.DUMMYFUNCTION("""COMPUTED_VALUE"""),44781.66666666667)</f>
        <v>44781.66667</v>
      </c>
      <c r="B3170" s="1">
        <f>IFERROR(__xludf.DUMMYFUNCTION("""COMPUTED_VALUE"""),42.17)</f>
        <v>42.17</v>
      </c>
      <c r="C3170" s="1">
        <f>IFERROR(__xludf.DUMMYFUNCTION("""COMPUTED_VALUE"""),42.53)</f>
        <v>42.53</v>
      </c>
      <c r="D3170" s="1">
        <f>IFERROR(__xludf.DUMMYFUNCTION("""COMPUTED_VALUE"""),41.95)</f>
        <v>41.95</v>
      </c>
      <c r="E3170" s="1">
        <f>IFERROR(__xludf.DUMMYFUNCTION("""COMPUTED_VALUE"""),42.14)</f>
        <v>42.14</v>
      </c>
      <c r="F3170" s="1">
        <f>IFERROR(__xludf.DUMMYFUNCTION("""COMPUTED_VALUE"""),179525.0)</f>
        <v>179525</v>
      </c>
    </row>
    <row r="3171">
      <c r="A3171" s="2">
        <f>IFERROR(__xludf.DUMMYFUNCTION("""COMPUTED_VALUE"""),44782.66666666667)</f>
        <v>44782.66667</v>
      </c>
      <c r="B3171" s="1">
        <f>IFERROR(__xludf.DUMMYFUNCTION("""COMPUTED_VALUE"""),42.15)</f>
        <v>42.15</v>
      </c>
      <c r="C3171" s="1">
        <f>IFERROR(__xludf.DUMMYFUNCTION("""COMPUTED_VALUE"""),42.66)</f>
        <v>42.66</v>
      </c>
      <c r="D3171" s="1">
        <f>IFERROR(__xludf.DUMMYFUNCTION("""COMPUTED_VALUE"""),42.07)</f>
        <v>42.07</v>
      </c>
      <c r="E3171" s="1">
        <f>IFERROR(__xludf.DUMMYFUNCTION("""COMPUTED_VALUE"""),42.4)</f>
        <v>42.4</v>
      </c>
      <c r="F3171" s="1">
        <f>IFERROR(__xludf.DUMMYFUNCTION("""COMPUTED_VALUE"""),240802.0)</f>
        <v>240802</v>
      </c>
    </row>
    <row r="3172">
      <c r="A3172" s="2">
        <f>IFERROR(__xludf.DUMMYFUNCTION("""COMPUTED_VALUE"""),44783.66666666667)</f>
        <v>44783.66667</v>
      </c>
      <c r="B3172" s="1">
        <f>IFERROR(__xludf.DUMMYFUNCTION("""COMPUTED_VALUE"""),42.81)</f>
        <v>42.81</v>
      </c>
      <c r="C3172" s="1">
        <f>IFERROR(__xludf.DUMMYFUNCTION("""COMPUTED_VALUE"""),43.42)</f>
        <v>43.42</v>
      </c>
      <c r="D3172" s="1">
        <f>IFERROR(__xludf.DUMMYFUNCTION("""COMPUTED_VALUE"""),42.8)</f>
        <v>42.8</v>
      </c>
      <c r="E3172" s="1">
        <f>IFERROR(__xludf.DUMMYFUNCTION("""COMPUTED_VALUE"""),43.02)</f>
        <v>43.02</v>
      </c>
      <c r="F3172" s="1">
        <f>IFERROR(__xludf.DUMMYFUNCTION("""COMPUTED_VALUE"""),255766.0)</f>
        <v>255766</v>
      </c>
    </row>
    <row r="3173">
      <c r="A3173" s="2">
        <f>IFERROR(__xludf.DUMMYFUNCTION("""COMPUTED_VALUE"""),44784.66666666667)</f>
        <v>44784.66667</v>
      </c>
      <c r="B3173" s="1">
        <f>IFERROR(__xludf.DUMMYFUNCTION("""COMPUTED_VALUE"""),43.4)</f>
        <v>43.4</v>
      </c>
      <c r="C3173" s="1">
        <f>IFERROR(__xludf.DUMMYFUNCTION("""COMPUTED_VALUE"""),44.06)</f>
        <v>44.06</v>
      </c>
      <c r="D3173" s="1">
        <f>IFERROR(__xludf.DUMMYFUNCTION("""COMPUTED_VALUE"""),43.39)</f>
        <v>43.39</v>
      </c>
      <c r="E3173" s="1">
        <f>IFERROR(__xludf.DUMMYFUNCTION("""COMPUTED_VALUE"""),43.87)</f>
        <v>43.87</v>
      </c>
      <c r="F3173" s="1">
        <f>IFERROR(__xludf.DUMMYFUNCTION("""COMPUTED_VALUE"""),233110.0)</f>
        <v>233110</v>
      </c>
    </row>
    <row r="3174">
      <c r="A3174" s="2">
        <f>IFERROR(__xludf.DUMMYFUNCTION("""COMPUTED_VALUE"""),44785.66666666667)</f>
        <v>44785.66667</v>
      </c>
      <c r="B3174" s="1">
        <f>IFERROR(__xludf.DUMMYFUNCTION("""COMPUTED_VALUE"""),44.07)</f>
        <v>44.07</v>
      </c>
      <c r="C3174" s="1">
        <f>IFERROR(__xludf.DUMMYFUNCTION("""COMPUTED_VALUE"""),44.43)</f>
        <v>44.43</v>
      </c>
      <c r="D3174" s="1">
        <f>IFERROR(__xludf.DUMMYFUNCTION("""COMPUTED_VALUE"""),43.93)</f>
        <v>43.93</v>
      </c>
      <c r="E3174" s="1">
        <f>IFERROR(__xludf.DUMMYFUNCTION("""COMPUTED_VALUE"""),44.36)</f>
        <v>44.36</v>
      </c>
      <c r="F3174" s="1">
        <f>IFERROR(__xludf.DUMMYFUNCTION("""COMPUTED_VALUE"""),229691.0)</f>
        <v>229691</v>
      </c>
    </row>
    <row r="3175">
      <c r="A3175" s="2">
        <f>IFERROR(__xludf.DUMMYFUNCTION("""COMPUTED_VALUE"""),44788.66666666667)</f>
        <v>44788.66667</v>
      </c>
      <c r="B3175" s="1">
        <f>IFERROR(__xludf.DUMMYFUNCTION("""COMPUTED_VALUE"""),44.03)</f>
        <v>44.03</v>
      </c>
      <c r="C3175" s="1">
        <f>IFERROR(__xludf.DUMMYFUNCTION("""COMPUTED_VALUE"""),44.93)</f>
        <v>44.93</v>
      </c>
      <c r="D3175" s="1">
        <f>IFERROR(__xludf.DUMMYFUNCTION("""COMPUTED_VALUE"""),44.03)</f>
        <v>44.03</v>
      </c>
      <c r="E3175" s="1">
        <f>IFERROR(__xludf.DUMMYFUNCTION("""COMPUTED_VALUE"""),44.88)</f>
        <v>44.88</v>
      </c>
      <c r="F3175" s="1">
        <f>IFERROR(__xludf.DUMMYFUNCTION("""COMPUTED_VALUE"""),201199.0)</f>
        <v>201199</v>
      </c>
    </row>
    <row r="3176">
      <c r="A3176" s="2">
        <f>IFERROR(__xludf.DUMMYFUNCTION("""COMPUTED_VALUE"""),44789.66666666667)</f>
        <v>44789.66667</v>
      </c>
      <c r="B3176" s="1">
        <f>IFERROR(__xludf.DUMMYFUNCTION("""COMPUTED_VALUE"""),44.76)</f>
        <v>44.76</v>
      </c>
      <c r="C3176" s="1">
        <f>IFERROR(__xludf.DUMMYFUNCTION("""COMPUTED_VALUE"""),45.53)</f>
        <v>45.53</v>
      </c>
      <c r="D3176" s="1">
        <f>IFERROR(__xludf.DUMMYFUNCTION("""COMPUTED_VALUE"""),44.55)</f>
        <v>44.55</v>
      </c>
      <c r="E3176" s="1">
        <f>IFERROR(__xludf.DUMMYFUNCTION("""COMPUTED_VALUE"""),45.36)</f>
        <v>45.36</v>
      </c>
      <c r="F3176" s="1">
        <f>IFERROR(__xludf.DUMMYFUNCTION("""COMPUTED_VALUE"""),388696.0)</f>
        <v>388696</v>
      </c>
    </row>
    <row r="3177">
      <c r="A3177" s="2">
        <f>IFERROR(__xludf.DUMMYFUNCTION("""COMPUTED_VALUE"""),44790.66666666667)</f>
        <v>44790.66667</v>
      </c>
      <c r="B3177" s="1">
        <f>IFERROR(__xludf.DUMMYFUNCTION("""COMPUTED_VALUE"""),44.93)</f>
        <v>44.93</v>
      </c>
      <c r="C3177" s="1">
        <f>IFERROR(__xludf.DUMMYFUNCTION("""COMPUTED_VALUE"""),45.07)</f>
        <v>45.07</v>
      </c>
      <c r="D3177" s="1">
        <f>IFERROR(__xludf.DUMMYFUNCTION("""COMPUTED_VALUE"""),44.59)</f>
        <v>44.59</v>
      </c>
      <c r="E3177" s="1">
        <f>IFERROR(__xludf.DUMMYFUNCTION("""COMPUTED_VALUE"""),44.93)</f>
        <v>44.93</v>
      </c>
      <c r="F3177" s="1">
        <f>IFERROR(__xludf.DUMMYFUNCTION("""COMPUTED_VALUE"""),240234.0)</f>
        <v>240234</v>
      </c>
    </row>
    <row r="3178">
      <c r="A3178" s="2">
        <f>IFERROR(__xludf.DUMMYFUNCTION("""COMPUTED_VALUE"""),44791.66666666667)</f>
        <v>44791.66667</v>
      </c>
      <c r="B3178" s="1">
        <f>IFERROR(__xludf.DUMMYFUNCTION("""COMPUTED_VALUE"""),44.99)</f>
        <v>44.99</v>
      </c>
      <c r="C3178" s="1">
        <f>IFERROR(__xludf.DUMMYFUNCTION("""COMPUTED_VALUE"""),45.19)</f>
        <v>45.19</v>
      </c>
      <c r="D3178" s="1">
        <f>IFERROR(__xludf.DUMMYFUNCTION("""COMPUTED_VALUE"""),44.82)</f>
        <v>44.82</v>
      </c>
      <c r="E3178" s="1">
        <f>IFERROR(__xludf.DUMMYFUNCTION("""COMPUTED_VALUE"""),45.17)</f>
        <v>45.17</v>
      </c>
      <c r="F3178" s="1">
        <f>IFERROR(__xludf.DUMMYFUNCTION("""COMPUTED_VALUE"""),155538.0)</f>
        <v>155538</v>
      </c>
    </row>
    <row r="3179">
      <c r="A3179" s="2">
        <f>IFERROR(__xludf.DUMMYFUNCTION("""COMPUTED_VALUE"""),44792.66666666667)</f>
        <v>44792.66667</v>
      </c>
      <c r="B3179" s="1">
        <f>IFERROR(__xludf.DUMMYFUNCTION("""COMPUTED_VALUE"""),45.07)</f>
        <v>45.07</v>
      </c>
      <c r="C3179" s="1">
        <f>IFERROR(__xludf.DUMMYFUNCTION("""COMPUTED_VALUE"""),45.07)</f>
        <v>45.07</v>
      </c>
      <c r="D3179" s="1">
        <f>IFERROR(__xludf.DUMMYFUNCTION("""COMPUTED_VALUE"""),44.65)</f>
        <v>44.65</v>
      </c>
      <c r="E3179" s="1">
        <f>IFERROR(__xludf.DUMMYFUNCTION("""COMPUTED_VALUE"""),44.86)</f>
        <v>44.86</v>
      </c>
      <c r="F3179" s="1">
        <f>IFERROR(__xludf.DUMMYFUNCTION("""COMPUTED_VALUE"""),226455.0)</f>
        <v>226455</v>
      </c>
    </row>
    <row r="3180">
      <c r="A3180" s="2">
        <f>IFERROR(__xludf.DUMMYFUNCTION("""COMPUTED_VALUE"""),44795.66666666667)</f>
        <v>44795.66667</v>
      </c>
      <c r="B3180" s="1">
        <f>IFERROR(__xludf.DUMMYFUNCTION("""COMPUTED_VALUE"""),44.24)</f>
        <v>44.24</v>
      </c>
      <c r="C3180" s="1">
        <f>IFERROR(__xludf.DUMMYFUNCTION("""COMPUTED_VALUE"""),44.36)</f>
        <v>44.36</v>
      </c>
      <c r="D3180" s="1">
        <f>IFERROR(__xludf.DUMMYFUNCTION("""COMPUTED_VALUE"""),43.84)</f>
        <v>43.84</v>
      </c>
      <c r="E3180" s="1">
        <f>IFERROR(__xludf.DUMMYFUNCTION("""COMPUTED_VALUE"""),43.92)</f>
        <v>43.92</v>
      </c>
      <c r="F3180" s="1">
        <f>IFERROR(__xludf.DUMMYFUNCTION("""COMPUTED_VALUE"""),228798.0)</f>
        <v>228798</v>
      </c>
    </row>
    <row r="3181">
      <c r="A3181" s="2">
        <f>IFERROR(__xludf.DUMMYFUNCTION("""COMPUTED_VALUE"""),44796.66666666667)</f>
        <v>44796.66667</v>
      </c>
      <c r="B3181" s="1">
        <f>IFERROR(__xludf.DUMMYFUNCTION("""COMPUTED_VALUE"""),44.02)</f>
        <v>44.02</v>
      </c>
      <c r="C3181" s="1">
        <f>IFERROR(__xludf.DUMMYFUNCTION("""COMPUTED_VALUE"""),44.3)</f>
        <v>44.3</v>
      </c>
      <c r="D3181" s="1">
        <f>IFERROR(__xludf.DUMMYFUNCTION("""COMPUTED_VALUE"""),43.57)</f>
        <v>43.57</v>
      </c>
      <c r="E3181" s="1">
        <f>IFERROR(__xludf.DUMMYFUNCTION("""COMPUTED_VALUE"""),43.61)</f>
        <v>43.61</v>
      </c>
      <c r="F3181" s="1">
        <f>IFERROR(__xludf.DUMMYFUNCTION("""COMPUTED_VALUE"""),229255.0)</f>
        <v>229255</v>
      </c>
    </row>
    <row r="3182">
      <c r="A3182" s="2">
        <f>IFERROR(__xludf.DUMMYFUNCTION("""COMPUTED_VALUE"""),44797.66666666667)</f>
        <v>44797.66667</v>
      </c>
      <c r="B3182" s="1">
        <f>IFERROR(__xludf.DUMMYFUNCTION("""COMPUTED_VALUE"""),43.5)</f>
        <v>43.5</v>
      </c>
      <c r="C3182" s="1">
        <f>IFERROR(__xludf.DUMMYFUNCTION("""COMPUTED_VALUE"""),43.75)</f>
        <v>43.75</v>
      </c>
      <c r="D3182" s="1">
        <f>IFERROR(__xludf.DUMMYFUNCTION("""COMPUTED_VALUE"""),43.21)</f>
        <v>43.21</v>
      </c>
      <c r="E3182" s="1">
        <f>IFERROR(__xludf.DUMMYFUNCTION("""COMPUTED_VALUE"""),43.54)</f>
        <v>43.54</v>
      </c>
      <c r="F3182" s="1">
        <f>IFERROR(__xludf.DUMMYFUNCTION("""COMPUTED_VALUE"""),173222.0)</f>
        <v>173222</v>
      </c>
    </row>
    <row r="3183">
      <c r="A3183" s="2">
        <f>IFERROR(__xludf.DUMMYFUNCTION("""COMPUTED_VALUE"""),44798.66666666667)</f>
        <v>44798.66667</v>
      </c>
      <c r="B3183" s="1">
        <f>IFERROR(__xludf.DUMMYFUNCTION("""COMPUTED_VALUE"""),43.54)</f>
        <v>43.54</v>
      </c>
      <c r="C3183" s="1">
        <f>IFERROR(__xludf.DUMMYFUNCTION("""COMPUTED_VALUE"""),44.48)</f>
        <v>44.48</v>
      </c>
      <c r="D3183" s="1">
        <f>IFERROR(__xludf.DUMMYFUNCTION("""COMPUTED_VALUE"""),43.52)</f>
        <v>43.52</v>
      </c>
      <c r="E3183" s="1">
        <f>IFERROR(__xludf.DUMMYFUNCTION("""COMPUTED_VALUE"""),44.33)</f>
        <v>44.33</v>
      </c>
      <c r="F3183" s="1">
        <f>IFERROR(__xludf.DUMMYFUNCTION("""COMPUTED_VALUE"""),173812.0)</f>
        <v>173812</v>
      </c>
    </row>
    <row r="3184">
      <c r="A3184" s="2">
        <f>IFERROR(__xludf.DUMMYFUNCTION("""COMPUTED_VALUE"""),44799.66666666667)</f>
        <v>44799.66667</v>
      </c>
      <c r="B3184" s="1">
        <f>IFERROR(__xludf.DUMMYFUNCTION("""COMPUTED_VALUE"""),44.42)</f>
        <v>44.42</v>
      </c>
      <c r="C3184" s="1">
        <f>IFERROR(__xludf.DUMMYFUNCTION("""COMPUTED_VALUE"""),44.52)</f>
        <v>44.52</v>
      </c>
      <c r="D3184" s="1">
        <f>IFERROR(__xludf.DUMMYFUNCTION("""COMPUTED_VALUE"""),43.41)</f>
        <v>43.41</v>
      </c>
      <c r="E3184" s="1">
        <f>IFERROR(__xludf.DUMMYFUNCTION("""COMPUTED_VALUE"""),43.43)</f>
        <v>43.43</v>
      </c>
      <c r="F3184" s="1">
        <f>IFERROR(__xludf.DUMMYFUNCTION("""COMPUTED_VALUE"""),301156.0)</f>
        <v>301156</v>
      </c>
    </row>
    <row r="3185">
      <c r="A3185" s="2">
        <f>IFERROR(__xludf.DUMMYFUNCTION("""COMPUTED_VALUE"""),44802.66666666667)</f>
        <v>44802.66667</v>
      </c>
      <c r="B3185" s="1">
        <f>IFERROR(__xludf.DUMMYFUNCTION("""COMPUTED_VALUE"""),42.76)</f>
        <v>42.76</v>
      </c>
      <c r="C3185" s="1">
        <f>IFERROR(__xludf.DUMMYFUNCTION("""COMPUTED_VALUE"""),43.03)</f>
        <v>43.03</v>
      </c>
      <c r="D3185" s="1">
        <f>IFERROR(__xludf.DUMMYFUNCTION("""COMPUTED_VALUE"""),42.35)</f>
        <v>42.35</v>
      </c>
      <c r="E3185" s="1">
        <f>IFERROR(__xludf.DUMMYFUNCTION("""COMPUTED_VALUE"""),42.72)</f>
        <v>42.72</v>
      </c>
      <c r="F3185" s="1">
        <f>IFERROR(__xludf.DUMMYFUNCTION("""COMPUTED_VALUE"""),215048.0)</f>
        <v>215048</v>
      </c>
    </row>
    <row r="3186">
      <c r="A3186" s="2">
        <f>IFERROR(__xludf.DUMMYFUNCTION("""COMPUTED_VALUE"""),44803.66666666667)</f>
        <v>44803.66667</v>
      </c>
      <c r="B3186" s="1">
        <f>IFERROR(__xludf.DUMMYFUNCTION("""COMPUTED_VALUE"""),42.81)</f>
        <v>42.81</v>
      </c>
      <c r="C3186" s="1">
        <f>IFERROR(__xludf.DUMMYFUNCTION("""COMPUTED_VALUE"""),42.86)</f>
        <v>42.86</v>
      </c>
      <c r="D3186" s="1">
        <f>IFERROR(__xludf.DUMMYFUNCTION("""COMPUTED_VALUE"""),42.28)</f>
        <v>42.28</v>
      </c>
      <c r="E3186" s="1">
        <f>IFERROR(__xludf.DUMMYFUNCTION("""COMPUTED_VALUE"""),42.48)</f>
        <v>42.48</v>
      </c>
      <c r="F3186" s="1">
        <f>IFERROR(__xludf.DUMMYFUNCTION("""COMPUTED_VALUE"""),255765.0)</f>
        <v>255765</v>
      </c>
    </row>
    <row r="3187">
      <c r="A3187" s="2">
        <f>IFERROR(__xludf.DUMMYFUNCTION("""COMPUTED_VALUE"""),44804.66666666667)</f>
        <v>44804.66667</v>
      </c>
      <c r="B3187" s="1">
        <f>IFERROR(__xludf.DUMMYFUNCTION("""COMPUTED_VALUE"""),42.44)</f>
        <v>42.44</v>
      </c>
      <c r="C3187" s="1">
        <f>IFERROR(__xludf.DUMMYFUNCTION("""COMPUTED_VALUE"""),42.48)</f>
        <v>42.48</v>
      </c>
      <c r="D3187" s="1">
        <f>IFERROR(__xludf.DUMMYFUNCTION("""COMPUTED_VALUE"""),41.87)</f>
        <v>41.87</v>
      </c>
      <c r="E3187" s="1">
        <f>IFERROR(__xludf.DUMMYFUNCTION("""COMPUTED_VALUE"""),41.94)</f>
        <v>41.94</v>
      </c>
      <c r="F3187" s="1">
        <f>IFERROR(__xludf.DUMMYFUNCTION("""COMPUTED_VALUE"""),291488.0)</f>
        <v>291488</v>
      </c>
    </row>
    <row r="3188">
      <c r="A3188" s="2">
        <f>IFERROR(__xludf.DUMMYFUNCTION("""COMPUTED_VALUE"""),44805.66666666667)</f>
        <v>44805.66667</v>
      </c>
      <c r="B3188" s="1">
        <f>IFERROR(__xludf.DUMMYFUNCTION("""COMPUTED_VALUE"""),41.87)</f>
        <v>41.87</v>
      </c>
      <c r="C3188" s="1">
        <f>IFERROR(__xludf.DUMMYFUNCTION("""COMPUTED_VALUE"""),42.19)</f>
        <v>42.19</v>
      </c>
      <c r="D3188" s="1">
        <f>IFERROR(__xludf.DUMMYFUNCTION("""COMPUTED_VALUE"""),41.35)</f>
        <v>41.35</v>
      </c>
      <c r="E3188" s="1">
        <f>IFERROR(__xludf.DUMMYFUNCTION("""COMPUTED_VALUE"""),41.63)</f>
        <v>41.63</v>
      </c>
      <c r="F3188" s="1">
        <f>IFERROR(__xludf.DUMMYFUNCTION("""COMPUTED_VALUE"""),306182.0)</f>
        <v>306182</v>
      </c>
    </row>
    <row r="3189">
      <c r="A3189" s="2">
        <f>IFERROR(__xludf.DUMMYFUNCTION("""COMPUTED_VALUE"""),44806.66666666667)</f>
        <v>44806.66667</v>
      </c>
      <c r="B3189" s="1">
        <f>IFERROR(__xludf.DUMMYFUNCTION("""COMPUTED_VALUE"""),41.96)</f>
        <v>41.96</v>
      </c>
      <c r="C3189" s="1">
        <f>IFERROR(__xludf.DUMMYFUNCTION("""COMPUTED_VALUE"""),42.42)</f>
        <v>42.42</v>
      </c>
      <c r="D3189" s="1">
        <f>IFERROR(__xludf.DUMMYFUNCTION("""COMPUTED_VALUE"""),41.09)</f>
        <v>41.09</v>
      </c>
      <c r="E3189" s="1">
        <f>IFERROR(__xludf.DUMMYFUNCTION("""COMPUTED_VALUE"""),41.3)</f>
        <v>41.3</v>
      </c>
      <c r="F3189" s="1">
        <f>IFERROR(__xludf.DUMMYFUNCTION("""COMPUTED_VALUE"""),395461.0)</f>
        <v>395461</v>
      </c>
    </row>
    <row r="3190">
      <c r="A3190" s="2">
        <f>IFERROR(__xludf.DUMMYFUNCTION("""COMPUTED_VALUE"""),44810.66666666667)</f>
        <v>44810.66667</v>
      </c>
      <c r="B3190" s="1">
        <f>IFERROR(__xludf.DUMMYFUNCTION("""COMPUTED_VALUE"""),41.57)</f>
        <v>41.57</v>
      </c>
      <c r="C3190" s="1">
        <f>IFERROR(__xludf.DUMMYFUNCTION("""COMPUTED_VALUE"""),41.76)</f>
        <v>41.76</v>
      </c>
      <c r="D3190" s="1">
        <f>IFERROR(__xludf.DUMMYFUNCTION("""COMPUTED_VALUE"""),40.49)</f>
        <v>40.49</v>
      </c>
      <c r="E3190" s="1">
        <f>IFERROR(__xludf.DUMMYFUNCTION("""COMPUTED_VALUE"""),40.71)</f>
        <v>40.71</v>
      </c>
      <c r="F3190" s="1">
        <f>IFERROR(__xludf.DUMMYFUNCTION("""COMPUTED_VALUE"""),316988.0)</f>
        <v>316988</v>
      </c>
    </row>
    <row r="3191">
      <c r="A3191" s="2">
        <f>IFERROR(__xludf.DUMMYFUNCTION("""COMPUTED_VALUE"""),44811.66666666667)</f>
        <v>44811.66667</v>
      </c>
      <c r="B3191" s="1">
        <f>IFERROR(__xludf.DUMMYFUNCTION("""COMPUTED_VALUE"""),40.59)</f>
        <v>40.59</v>
      </c>
      <c r="C3191" s="1">
        <f>IFERROR(__xludf.DUMMYFUNCTION("""COMPUTED_VALUE"""),41.53)</f>
        <v>41.53</v>
      </c>
      <c r="D3191" s="1">
        <f>IFERROR(__xludf.DUMMYFUNCTION("""COMPUTED_VALUE"""),40.43)</f>
        <v>40.43</v>
      </c>
      <c r="E3191" s="1">
        <f>IFERROR(__xludf.DUMMYFUNCTION("""COMPUTED_VALUE"""),41.37)</f>
        <v>41.37</v>
      </c>
      <c r="F3191" s="1">
        <f>IFERROR(__xludf.DUMMYFUNCTION("""COMPUTED_VALUE"""),226891.0)</f>
        <v>226891</v>
      </c>
    </row>
    <row r="3192">
      <c r="A3192" s="2">
        <f>IFERROR(__xludf.DUMMYFUNCTION("""COMPUTED_VALUE"""),44812.66666666667)</f>
        <v>44812.66667</v>
      </c>
      <c r="B3192" s="1">
        <f>IFERROR(__xludf.DUMMYFUNCTION("""COMPUTED_VALUE"""),41.08)</f>
        <v>41.08</v>
      </c>
      <c r="C3192" s="1">
        <f>IFERROR(__xludf.DUMMYFUNCTION("""COMPUTED_VALUE"""),42.0)</f>
        <v>42</v>
      </c>
      <c r="D3192" s="1">
        <f>IFERROR(__xludf.DUMMYFUNCTION("""COMPUTED_VALUE"""),40.81)</f>
        <v>40.81</v>
      </c>
      <c r="E3192" s="1">
        <f>IFERROR(__xludf.DUMMYFUNCTION("""COMPUTED_VALUE"""),41.76)</f>
        <v>41.76</v>
      </c>
      <c r="F3192" s="1">
        <f>IFERROR(__xludf.DUMMYFUNCTION("""COMPUTED_VALUE"""),311343.0)</f>
        <v>311343</v>
      </c>
    </row>
    <row r="3193">
      <c r="A3193" s="2">
        <f>IFERROR(__xludf.DUMMYFUNCTION("""COMPUTED_VALUE"""),44813.66666666667)</f>
        <v>44813.66667</v>
      </c>
      <c r="B3193" s="1">
        <f>IFERROR(__xludf.DUMMYFUNCTION("""COMPUTED_VALUE"""),41.95)</f>
        <v>41.95</v>
      </c>
      <c r="C3193" s="1">
        <f>IFERROR(__xludf.DUMMYFUNCTION("""COMPUTED_VALUE"""),42.33)</f>
        <v>42.33</v>
      </c>
      <c r="D3193" s="1">
        <f>IFERROR(__xludf.DUMMYFUNCTION("""COMPUTED_VALUE"""),41.77)</f>
        <v>41.77</v>
      </c>
      <c r="E3193" s="1">
        <f>IFERROR(__xludf.DUMMYFUNCTION("""COMPUTED_VALUE"""),42.15)</f>
        <v>42.15</v>
      </c>
      <c r="F3193" s="1">
        <f>IFERROR(__xludf.DUMMYFUNCTION("""COMPUTED_VALUE"""),306010.0)</f>
        <v>306010</v>
      </c>
    </row>
    <row r="3194">
      <c r="A3194" s="2">
        <f>IFERROR(__xludf.DUMMYFUNCTION("""COMPUTED_VALUE"""),44816.66666666667)</f>
        <v>44816.66667</v>
      </c>
      <c r="B3194" s="1">
        <f>IFERROR(__xludf.DUMMYFUNCTION("""COMPUTED_VALUE"""),42.05)</f>
        <v>42.05</v>
      </c>
      <c r="C3194" s="1">
        <f>IFERROR(__xludf.DUMMYFUNCTION("""COMPUTED_VALUE"""),42.84)</f>
        <v>42.84</v>
      </c>
      <c r="D3194" s="1">
        <f>IFERROR(__xludf.DUMMYFUNCTION("""COMPUTED_VALUE"""),42.05)</f>
        <v>42.05</v>
      </c>
      <c r="E3194" s="1">
        <f>IFERROR(__xludf.DUMMYFUNCTION("""COMPUTED_VALUE"""),42.62)</f>
        <v>42.62</v>
      </c>
      <c r="F3194" s="1">
        <f>IFERROR(__xludf.DUMMYFUNCTION("""COMPUTED_VALUE"""),233914.0)</f>
        <v>233914</v>
      </c>
    </row>
    <row r="3195">
      <c r="A3195" s="2">
        <f>IFERROR(__xludf.DUMMYFUNCTION("""COMPUTED_VALUE"""),44817.66666666667)</f>
        <v>44817.66667</v>
      </c>
      <c r="B3195" s="1">
        <f>IFERROR(__xludf.DUMMYFUNCTION("""COMPUTED_VALUE"""),41.99)</f>
        <v>41.99</v>
      </c>
      <c r="C3195" s="1">
        <f>IFERROR(__xludf.DUMMYFUNCTION("""COMPUTED_VALUE"""),42.11)</f>
        <v>42.11</v>
      </c>
      <c r="D3195" s="1">
        <f>IFERROR(__xludf.DUMMYFUNCTION("""COMPUTED_VALUE"""),41.02)</f>
        <v>41.02</v>
      </c>
      <c r="E3195" s="1">
        <f>IFERROR(__xludf.DUMMYFUNCTION("""COMPUTED_VALUE"""),41.21)</f>
        <v>41.21</v>
      </c>
      <c r="F3195" s="1">
        <f>IFERROR(__xludf.DUMMYFUNCTION("""COMPUTED_VALUE"""),268288.0)</f>
        <v>268288</v>
      </c>
    </row>
    <row r="3196">
      <c r="A3196" s="2">
        <f>IFERROR(__xludf.DUMMYFUNCTION("""COMPUTED_VALUE"""),44818.66666666667)</f>
        <v>44818.66667</v>
      </c>
      <c r="B3196" s="1">
        <f>IFERROR(__xludf.DUMMYFUNCTION("""COMPUTED_VALUE"""),41.33)</f>
        <v>41.33</v>
      </c>
      <c r="C3196" s="1">
        <f>IFERROR(__xludf.DUMMYFUNCTION("""COMPUTED_VALUE"""),41.48)</f>
        <v>41.48</v>
      </c>
      <c r="D3196" s="1">
        <f>IFERROR(__xludf.DUMMYFUNCTION("""COMPUTED_VALUE"""),40.71)</f>
        <v>40.71</v>
      </c>
      <c r="E3196" s="1">
        <f>IFERROR(__xludf.DUMMYFUNCTION("""COMPUTED_VALUE"""),41.15)</f>
        <v>41.15</v>
      </c>
      <c r="F3196" s="1">
        <f>IFERROR(__xludf.DUMMYFUNCTION("""COMPUTED_VALUE"""),246443.0)</f>
        <v>246443</v>
      </c>
    </row>
    <row r="3197">
      <c r="A3197" s="2">
        <f>IFERROR(__xludf.DUMMYFUNCTION("""COMPUTED_VALUE"""),44819.66666666667)</f>
        <v>44819.66667</v>
      </c>
      <c r="B3197" s="1">
        <f>IFERROR(__xludf.DUMMYFUNCTION("""COMPUTED_VALUE"""),41.04)</f>
        <v>41.04</v>
      </c>
      <c r="C3197" s="1">
        <f>IFERROR(__xludf.DUMMYFUNCTION("""COMPUTED_VALUE"""),42.38)</f>
        <v>42.38</v>
      </c>
      <c r="D3197" s="1">
        <f>IFERROR(__xludf.DUMMYFUNCTION("""COMPUTED_VALUE"""),41.03)</f>
        <v>41.03</v>
      </c>
      <c r="E3197" s="1">
        <f>IFERROR(__xludf.DUMMYFUNCTION("""COMPUTED_VALUE"""),42.0)</f>
        <v>42</v>
      </c>
      <c r="F3197" s="1">
        <f>IFERROR(__xludf.DUMMYFUNCTION("""COMPUTED_VALUE"""),264724.0)</f>
        <v>264724</v>
      </c>
    </row>
    <row r="3198">
      <c r="A3198" s="2">
        <f>IFERROR(__xludf.DUMMYFUNCTION("""COMPUTED_VALUE"""),44820.66666666667)</f>
        <v>44820.66667</v>
      </c>
      <c r="B3198" s="1">
        <f>IFERROR(__xludf.DUMMYFUNCTION("""COMPUTED_VALUE"""),41.76)</f>
        <v>41.76</v>
      </c>
      <c r="C3198" s="1">
        <f>IFERROR(__xludf.DUMMYFUNCTION("""COMPUTED_VALUE"""),41.88)</f>
        <v>41.88</v>
      </c>
      <c r="D3198" s="1">
        <f>IFERROR(__xludf.DUMMYFUNCTION("""COMPUTED_VALUE"""),41.09)</f>
        <v>41.09</v>
      </c>
      <c r="E3198" s="1">
        <f>IFERROR(__xludf.DUMMYFUNCTION("""COMPUTED_VALUE"""),41.8)</f>
        <v>41.8</v>
      </c>
      <c r="F3198" s="1">
        <f>IFERROR(__xludf.DUMMYFUNCTION("""COMPUTED_VALUE"""),860834.0)</f>
        <v>860834</v>
      </c>
    </row>
    <row r="3199">
      <c r="A3199" s="2">
        <f>IFERROR(__xludf.DUMMYFUNCTION("""COMPUTED_VALUE"""),44823.66666666667)</f>
        <v>44823.66667</v>
      </c>
      <c r="B3199" s="1">
        <f>IFERROR(__xludf.DUMMYFUNCTION("""COMPUTED_VALUE"""),41.34)</f>
        <v>41.34</v>
      </c>
      <c r="C3199" s="1">
        <f>IFERROR(__xludf.DUMMYFUNCTION("""COMPUTED_VALUE"""),42.7)</f>
        <v>42.7</v>
      </c>
      <c r="D3199" s="1">
        <f>IFERROR(__xludf.DUMMYFUNCTION("""COMPUTED_VALUE"""),41.19)</f>
        <v>41.19</v>
      </c>
      <c r="E3199" s="1">
        <f>IFERROR(__xludf.DUMMYFUNCTION("""COMPUTED_VALUE"""),42.63)</f>
        <v>42.63</v>
      </c>
      <c r="F3199" s="1">
        <f>IFERROR(__xludf.DUMMYFUNCTION("""COMPUTED_VALUE"""),269584.0)</f>
        <v>269584</v>
      </c>
    </row>
    <row r="3200">
      <c r="A3200" s="2">
        <f>IFERROR(__xludf.DUMMYFUNCTION("""COMPUTED_VALUE"""),44824.66666666667)</f>
        <v>44824.66667</v>
      </c>
      <c r="B3200" s="1">
        <f>IFERROR(__xludf.DUMMYFUNCTION("""COMPUTED_VALUE"""),42.29)</f>
        <v>42.29</v>
      </c>
      <c r="C3200" s="1">
        <f>IFERROR(__xludf.DUMMYFUNCTION("""COMPUTED_VALUE"""),42.62)</f>
        <v>42.62</v>
      </c>
      <c r="D3200" s="1">
        <f>IFERROR(__xludf.DUMMYFUNCTION("""COMPUTED_VALUE"""),42.05)</f>
        <v>42.05</v>
      </c>
      <c r="E3200" s="1">
        <f>IFERROR(__xludf.DUMMYFUNCTION("""COMPUTED_VALUE"""),42.47)</f>
        <v>42.47</v>
      </c>
      <c r="F3200" s="1">
        <f>IFERROR(__xludf.DUMMYFUNCTION("""COMPUTED_VALUE"""),342337.0)</f>
        <v>342337</v>
      </c>
    </row>
    <row r="3201">
      <c r="A3201" s="2">
        <f>IFERROR(__xludf.DUMMYFUNCTION("""COMPUTED_VALUE"""),44825.66666666667)</f>
        <v>44825.66667</v>
      </c>
      <c r="B3201" s="1">
        <f>IFERROR(__xludf.DUMMYFUNCTION("""COMPUTED_VALUE"""),42.54)</f>
        <v>42.54</v>
      </c>
      <c r="C3201" s="1">
        <f>IFERROR(__xludf.DUMMYFUNCTION("""COMPUTED_VALUE"""),43.19)</f>
        <v>43.19</v>
      </c>
      <c r="D3201" s="1">
        <f>IFERROR(__xludf.DUMMYFUNCTION("""COMPUTED_VALUE"""),42.0)</f>
        <v>42</v>
      </c>
      <c r="E3201" s="1">
        <f>IFERROR(__xludf.DUMMYFUNCTION("""COMPUTED_VALUE"""),42.0)</f>
        <v>42</v>
      </c>
      <c r="F3201" s="1">
        <f>IFERROR(__xludf.DUMMYFUNCTION("""COMPUTED_VALUE"""),261312.0)</f>
        <v>261312</v>
      </c>
    </row>
    <row r="3202">
      <c r="A3202" s="2">
        <f>IFERROR(__xludf.DUMMYFUNCTION("""COMPUTED_VALUE"""),44826.66666666667)</f>
        <v>44826.66667</v>
      </c>
      <c r="B3202" s="1">
        <f>IFERROR(__xludf.DUMMYFUNCTION("""COMPUTED_VALUE"""),42.29)</f>
        <v>42.29</v>
      </c>
      <c r="C3202" s="1">
        <f>IFERROR(__xludf.DUMMYFUNCTION("""COMPUTED_VALUE"""),42.29)</f>
        <v>42.29</v>
      </c>
      <c r="D3202" s="1">
        <f>IFERROR(__xludf.DUMMYFUNCTION("""COMPUTED_VALUE"""),41.02)</f>
        <v>41.02</v>
      </c>
      <c r="E3202" s="1">
        <f>IFERROR(__xludf.DUMMYFUNCTION("""COMPUTED_VALUE"""),41.27)</f>
        <v>41.27</v>
      </c>
      <c r="F3202" s="1">
        <f>IFERROR(__xludf.DUMMYFUNCTION("""COMPUTED_VALUE"""),188946.0)</f>
        <v>188946</v>
      </c>
    </row>
    <row r="3203">
      <c r="A3203" s="2">
        <f>IFERROR(__xludf.DUMMYFUNCTION("""COMPUTED_VALUE"""),44827.66666666667)</f>
        <v>44827.66667</v>
      </c>
      <c r="B3203" s="1">
        <f>IFERROR(__xludf.DUMMYFUNCTION("""COMPUTED_VALUE"""),40.84)</f>
        <v>40.84</v>
      </c>
      <c r="C3203" s="1">
        <f>IFERROR(__xludf.DUMMYFUNCTION("""COMPUTED_VALUE"""),41.03)</f>
        <v>41.03</v>
      </c>
      <c r="D3203" s="1">
        <f>IFERROR(__xludf.DUMMYFUNCTION("""COMPUTED_VALUE"""),39.98)</f>
        <v>39.98</v>
      </c>
      <c r="E3203" s="1">
        <f>IFERROR(__xludf.DUMMYFUNCTION("""COMPUTED_VALUE"""),40.48)</f>
        <v>40.48</v>
      </c>
      <c r="F3203" s="1">
        <f>IFERROR(__xludf.DUMMYFUNCTION("""COMPUTED_VALUE"""),225742.0)</f>
        <v>225742</v>
      </c>
    </row>
    <row r="3204">
      <c r="A3204" s="2">
        <f>IFERROR(__xludf.DUMMYFUNCTION("""COMPUTED_VALUE"""),44830.66666666667)</f>
        <v>44830.66667</v>
      </c>
      <c r="B3204" s="1">
        <f>IFERROR(__xludf.DUMMYFUNCTION("""COMPUTED_VALUE"""),40.3)</f>
        <v>40.3</v>
      </c>
      <c r="C3204" s="1">
        <f>IFERROR(__xludf.DUMMYFUNCTION("""COMPUTED_VALUE"""),40.73)</f>
        <v>40.73</v>
      </c>
      <c r="D3204" s="1">
        <f>IFERROR(__xludf.DUMMYFUNCTION("""COMPUTED_VALUE"""),39.97)</f>
        <v>39.97</v>
      </c>
      <c r="E3204" s="1">
        <f>IFERROR(__xludf.DUMMYFUNCTION("""COMPUTED_VALUE"""),40.06)</f>
        <v>40.06</v>
      </c>
      <c r="F3204" s="1">
        <f>IFERROR(__xludf.DUMMYFUNCTION("""COMPUTED_VALUE"""),230402.0)</f>
        <v>230402</v>
      </c>
    </row>
    <row r="3205">
      <c r="A3205" s="2">
        <f>IFERROR(__xludf.DUMMYFUNCTION("""COMPUTED_VALUE"""),44831.66666666667)</f>
        <v>44831.66667</v>
      </c>
      <c r="B3205" s="1">
        <f>IFERROR(__xludf.DUMMYFUNCTION("""COMPUTED_VALUE"""),40.15)</f>
        <v>40.15</v>
      </c>
      <c r="C3205" s="1">
        <f>IFERROR(__xludf.DUMMYFUNCTION("""COMPUTED_VALUE"""),40.52)</f>
        <v>40.52</v>
      </c>
      <c r="D3205" s="1">
        <f>IFERROR(__xludf.DUMMYFUNCTION("""COMPUTED_VALUE"""),39.27)</f>
        <v>39.27</v>
      </c>
      <c r="E3205" s="1">
        <f>IFERROR(__xludf.DUMMYFUNCTION("""COMPUTED_VALUE"""),39.44)</f>
        <v>39.44</v>
      </c>
      <c r="F3205" s="1">
        <f>IFERROR(__xludf.DUMMYFUNCTION("""COMPUTED_VALUE"""),365078.0)</f>
        <v>365078</v>
      </c>
    </row>
    <row r="3206">
      <c r="A3206" s="2">
        <f>IFERROR(__xludf.DUMMYFUNCTION("""COMPUTED_VALUE"""),44832.66666666667)</f>
        <v>44832.66667</v>
      </c>
      <c r="B3206" s="1">
        <f>IFERROR(__xludf.DUMMYFUNCTION("""COMPUTED_VALUE"""),39.67)</f>
        <v>39.67</v>
      </c>
      <c r="C3206" s="1">
        <f>IFERROR(__xludf.DUMMYFUNCTION("""COMPUTED_VALUE"""),40.23)</f>
        <v>40.23</v>
      </c>
      <c r="D3206" s="1">
        <f>IFERROR(__xludf.DUMMYFUNCTION("""COMPUTED_VALUE"""),39.25)</f>
        <v>39.25</v>
      </c>
      <c r="E3206" s="1">
        <f>IFERROR(__xludf.DUMMYFUNCTION("""COMPUTED_VALUE"""),39.7)</f>
        <v>39.7</v>
      </c>
      <c r="F3206" s="1">
        <f>IFERROR(__xludf.DUMMYFUNCTION("""COMPUTED_VALUE"""),375564.0)</f>
        <v>375564</v>
      </c>
    </row>
    <row r="3207">
      <c r="A3207" s="2">
        <f>IFERROR(__xludf.DUMMYFUNCTION("""COMPUTED_VALUE"""),44833.66666666667)</f>
        <v>44833.66667</v>
      </c>
      <c r="B3207" s="1">
        <f>IFERROR(__xludf.DUMMYFUNCTION("""COMPUTED_VALUE"""),39.38)</f>
        <v>39.38</v>
      </c>
      <c r="C3207" s="1">
        <f>IFERROR(__xludf.DUMMYFUNCTION("""COMPUTED_VALUE"""),39.38)</f>
        <v>39.38</v>
      </c>
      <c r="D3207" s="1">
        <f>IFERROR(__xludf.DUMMYFUNCTION("""COMPUTED_VALUE"""),38.31)</f>
        <v>38.31</v>
      </c>
      <c r="E3207" s="1">
        <f>IFERROR(__xludf.DUMMYFUNCTION("""COMPUTED_VALUE"""),38.56)</f>
        <v>38.56</v>
      </c>
      <c r="F3207" s="1">
        <f>IFERROR(__xludf.DUMMYFUNCTION("""COMPUTED_VALUE"""),337310.0)</f>
        <v>337310</v>
      </c>
    </row>
    <row r="3208">
      <c r="A3208" s="2">
        <f>IFERROR(__xludf.DUMMYFUNCTION("""COMPUTED_VALUE"""),44834.66666666667)</f>
        <v>44834.66667</v>
      </c>
      <c r="B3208" s="1">
        <f>IFERROR(__xludf.DUMMYFUNCTION("""COMPUTED_VALUE"""),38.65)</f>
        <v>38.65</v>
      </c>
      <c r="C3208" s="1">
        <f>IFERROR(__xludf.DUMMYFUNCTION("""COMPUTED_VALUE"""),39.24)</f>
        <v>39.24</v>
      </c>
      <c r="D3208" s="1">
        <f>IFERROR(__xludf.DUMMYFUNCTION("""COMPUTED_VALUE"""),38.4)</f>
        <v>38.4</v>
      </c>
      <c r="E3208" s="1">
        <f>IFERROR(__xludf.DUMMYFUNCTION("""COMPUTED_VALUE"""),38.46)</f>
        <v>38.46</v>
      </c>
      <c r="F3208" s="1">
        <f>IFERROR(__xludf.DUMMYFUNCTION("""COMPUTED_VALUE"""),305041.0)</f>
        <v>305041</v>
      </c>
    </row>
    <row r="3209">
      <c r="A3209" s="2">
        <f>IFERROR(__xludf.DUMMYFUNCTION("""COMPUTED_VALUE"""),44837.66666666667)</f>
        <v>44837.66667</v>
      </c>
      <c r="B3209" s="1">
        <f>IFERROR(__xludf.DUMMYFUNCTION("""COMPUTED_VALUE"""),39.06)</f>
        <v>39.06</v>
      </c>
      <c r="C3209" s="1">
        <f>IFERROR(__xludf.DUMMYFUNCTION("""COMPUTED_VALUE"""),39.78)</f>
        <v>39.78</v>
      </c>
      <c r="D3209" s="1">
        <f>IFERROR(__xludf.DUMMYFUNCTION("""COMPUTED_VALUE"""),38.53)</f>
        <v>38.53</v>
      </c>
      <c r="E3209" s="1">
        <f>IFERROR(__xludf.DUMMYFUNCTION("""COMPUTED_VALUE"""),39.61)</f>
        <v>39.61</v>
      </c>
      <c r="F3209" s="1">
        <f>IFERROR(__xludf.DUMMYFUNCTION("""COMPUTED_VALUE"""),286546.0)</f>
        <v>286546</v>
      </c>
    </row>
    <row r="3210">
      <c r="A3210" s="2">
        <f>IFERROR(__xludf.DUMMYFUNCTION("""COMPUTED_VALUE"""),44838.66666666667)</f>
        <v>44838.66667</v>
      </c>
      <c r="B3210" s="1">
        <f>IFERROR(__xludf.DUMMYFUNCTION("""COMPUTED_VALUE"""),40.0)</f>
        <v>40</v>
      </c>
      <c r="C3210" s="1">
        <f>IFERROR(__xludf.DUMMYFUNCTION("""COMPUTED_VALUE"""),41.55)</f>
        <v>41.55</v>
      </c>
      <c r="D3210" s="1">
        <f>IFERROR(__xludf.DUMMYFUNCTION("""COMPUTED_VALUE"""),40.0)</f>
        <v>40</v>
      </c>
      <c r="E3210" s="1">
        <f>IFERROR(__xludf.DUMMYFUNCTION("""COMPUTED_VALUE"""),41.55)</f>
        <v>41.55</v>
      </c>
      <c r="F3210" s="1">
        <f>IFERROR(__xludf.DUMMYFUNCTION("""COMPUTED_VALUE"""),273926.0)</f>
        <v>273926</v>
      </c>
    </row>
    <row r="3211">
      <c r="A3211" s="2">
        <f>IFERROR(__xludf.DUMMYFUNCTION("""COMPUTED_VALUE"""),44839.66666666667)</f>
        <v>44839.66667</v>
      </c>
      <c r="B3211" s="1">
        <f>IFERROR(__xludf.DUMMYFUNCTION("""COMPUTED_VALUE"""),40.96)</f>
        <v>40.96</v>
      </c>
      <c r="C3211" s="1">
        <f>IFERROR(__xludf.DUMMYFUNCTION("""COMPUTED_VALUE"""),41.49)</f>
        <v>41.49</v>
      </c>
      <c r="D3211" s="1">
        <f>IFERROR(__xludf.DUMMYFUNCTION("""COMPUTED_VALUE"""),40.78)</f>
        <v>40.78</v>
      </c>
      <c r="E3211" s="1">
        <f>IFERROR(__xludf.DUMMYFUNCTION("""COMPUTED_VALUE"""),41.36)</f>
        <v>41.36</v>
      </c>
      <c r="F3211" s="1">
        <f>IFERROR(__xludf.DUMMYFUNCTION("""COMPUTED_VALUE"""),240855.0)</f>
        <v>240855</v>
      </c>
    </row>
    <row r="3212">
      <c r="A3212" s="2">
        <f>IFERROR(__xludf.DUMMYFUNCTION("""COMPUTED_VALUE"""),44840.66666666667)</f>
        <v>44840.66667</v>
      </c>
      <c r="B3212" s="1">
        <f>IFERROR(__xludf.DUMMYFUNCTION("""COMPUTED_VALUE"""),41.1)</f>
        <v>41.1</v>
      </c>
      <c r="C3212" s="1">
        <f>IFERROR(__xludf.DUMMYFUNCTION("""COMPUTED_VALUE"""),41.38)</f>
        <v>41.38</v>
      </c>
      <c r="D3212" s="1">
        <f>IFERROR(__xludf.DUMMYFUNCTION("""COMPUTED_VALUE"""),40.91)</f>
        <v>40.91</v>
      </c>
      <c r="E3212" s="1">
        <f>IFERROR(__xludf.DUMMYFUNCTION("""COMPUTED_VALUE"""),41.17)</f>
        <v>41.17</v>
      </c>
      <c r="F3212" s="1">
        <f>IFERROR(__xludf.DUMMYFUNCTION("""COMPUTED_VALUE"""),134203.0)</f>
        <v>134203</v>
      </c>
    </row>
    <row r="3213">
      <c r="A3213" s="2">
        <f>IFERROR(__xludf.DUMMYFUNCTION("""COMPUTED_VALUE"""),44841.66666666667)</f>
        <v>44841.66667</v>
      </c>
      <c r="B3213" s="1">
        <f>IFERROR(__xludf.DUMMYFUNCTION("""COMPUTED_VALUE"""),40.97)</f>
        <v>40.97</v>
      </c>
      <c r="C3213" s="1">
        <f>IFERROR(__xludf.DUMMYFUNCTION("""COMPUTED_VALUE"""),41.02)</f>
        <v>41.02</v>
      </c>
      <c r="D3213" s="1">
        <f>IFERROR(__xludf.DUMMYFUNCTION("""COMPUTED_VALUE"""),40.23)</f>
        <v>40.23</v>
      </c>
      <c r="E3213" s="1">
        <f>IFERROR(__xludf.DUMMYFUNCTION("""COMPUTED_VALUE"""),40.71)</f>
        <v>40.71</v>
      </c>
      <c r="F3213" s="1">
        <f>IFERROR(__xludf.DUMMYFUNCTION("""COMPUTED_VALUE"""),309945.0)</f>
        <v>309945</v>
      </c>
    </row>
    <row r="3214">
      <c r="A3214" s="2">
        <f>IFERROR(__xludf.DUMMYFUNCTION("""COMPUTED_VALUE"""),44844.66666666667)</f>
        <v>44844.66667</v>
      </c>
      <c r="B3214" s="1">
        <f>IFERROR(__xludf.DUMMYFUNCTION("""COMPUTED_VALUE"""),40.99)</f>
        <v>40.99</v>
      </c>
      <c r="C3214" s="1">
        <f>IFERROR(__xludf.DUMMYFUNCTION("""COMPUTED_VALUE"""),41.44)</f>
        <v>41.44</v>
      </c>
      <c r="D3214" s="1">
        <f>IFERROR(__xludf.DUMMYFUNCTION("""COMPUTED_VALUE"""),40.71)</f>
        <v>40.71</v>
      </c>
      <c r="E3214" s="1">
        <f>IFERROR(__xludf.DUMMYFUNCTION("""COMPUTED_VALUE"""),40.82)</f>
        <v>40.82</v>
      </c>
      <c r="F3214" s="1">
        <f>IFERROR(__xludf.DUMMYFUNCTION("""COMPUTED_VALUE"""),216472.0)</f>
        <v>216472</v>
      </c>
    </row>
    <row r="3215">
      <c r="A3215" s="2">
        <f>IFERROR(__xludf.DUMMYFUNCTION("""COMPUTED_VALUE"""),44845.66666666667)</f>
        <v>44845.66667</v>
      </c>
      <c r="B3215" s="1">
        <f>IFERROR(__xludf.DUMMYFUNCTION("""COMPUTED_VALUE"""),40.69)</f>
        <v>40.69</v>
      </c>
      <c r="C3215" s="1">
        <f>IFERROR(__xludf.DUMMYFUNCTION("""COMPUTED_VALUE"""),41.71)</f>
        <v>41.71</v>
      </c>
      <c r="D3215" s="1">
        <f>IFERROR(__xludf.DUMMYFUNCTION("""COMPUTED_VALUE"""),40.67)</f>
        <v>40.67</v>
      </c>
      <c r="E3215" s="1">
        <f>IFERROR(__xludf.DUMMYFUNCTION("""COMPUTED_VALUE"""),41.08)</f>
        <v>41.08</v>
      </c>
      <c r="F3215" s="1">
        <f>IFERROR(__xludf.DUMMYFUNCTION("""COMPUTED_VALUE"""),350748.0)</f>
        <v>350748</v>
      </c>
    </row>
    <row r="3216">
      <c r="A3216" s="2">
        <f>IFERROR(__xludf.DUMMYFUNCTION("""COMPUTED_VALUE"""),44846.66666666667)</f>
        <v>44846.66667</v>
      </c>
      <c r="B3216" s="1">
        <f>IFERROR(__xludf.DUMMYFUNCTION("""COMPUTED_VALUE"""),41.05)</f>
        <v>41.05</v>
      </c>
      <c r="C3216" s="1">
        <f>IFERROR(__xludf.DUMMYFUNCTION("""COMPUTED_VALUE"""),41.66)</f>
        <v>41.66</v>
      </c>
      <c r="D3216" s="1">
        <f>IFERROR(__xludf.DUMMYFUNCTION("""COMPUTED_VALUE"""),40.55)</f>
        <v>40.55</v>
      </c>
      <c r="E3216" s="1">
        <f>IFERROR(__xludf.DUMMYFUNCTION("""COMPUTED_VALUE"""),41.06)</f>
        <v>41.06</v>
      </c>
      <c r="F3216" s="1">
        <f>IFERROR(__xludf.DUMMYFUNCTION("""COMPUTED_VALUE"""),214707.0)</f>
        <v>214707</v>
      </c>
    </row>
    <row r="3217">
      <c r="A3217" s="2">
        <f>IFERROR(__xludf.DUMMYFUNCTION("""COMPUTED_VALUE"""),44847.66666666667)</f>
        <v>44847.66667</v>
      </c>
      <c r="B3217" s="1">
        <f>IFERROR(__xludf.DUMMYFUNCTION("""COMPUTED_VALUE"""),40.65)</f>
        <v>40.65</v>
      </c>
      <c r="C3217" s="1">
        <f>IFERROR(__xludf.DUMMYFUNCTION("""COMPUTED_VALUE"""),43.0)</f>
        <v>43</v>
      </c>
      <c r="D3217" s="1">
        <f>IFERROR(__xludf.DUMMYFUNCTION("""COMPUTED_VALUE"""),40.34)</f>
        <v>40.34</v>
      </c>
      <c r="E3217" s="1">
        <f>IFERROR(__xludf.DUMMYFUNCTION("""COMPUTED_VALUE"""),42.8)</f>
        <v>42.8</v>
      </c>
      <c r="F3217" s="1">
        <f>IFERROR(__xludf.DUMMYFUNCTION("""COMPUTED_VALUE"""),276750.0)</f>
        <v>276750</v>
      </c>
    </row>
    <row r="3218">
      <c r="A3218" s="2">
        <f>IFERROR(__xludf.DUMMYFUNCTION("""COMPUTED_VALUE"""),44848.66666666667)</f>
        <v>44848.66667</v>
      </c>
      <c r="B3218" s="1">
        <f>IFERROR(__xludf.DUMMYFUNCTION("""COMPUTED_VALUE"""),43.19)</f>
        <v>43.19</v>
      </c>
      <c r="C3218" s="1">
        <f>IFERROR(__xludf.DUMMYFUNCTION("""COMPUTED_VALUE"""),43.71)</f>
        <v>43.71</v>
      </c>
      <c r="D3218" s="1">
        <f>IFERROR(__xludf.DUMMYFUNCTION("""COMPUTED_VALUE"""),42.5)</f>
        <v>42.5</v>
      </c>
      <c r="E3218" s="1">
        <f>IFERROR(__xludf.DUMMYFUNCTION("""COMPUTED_VALUE"""),42.6)</f>
        <v>42.6</v>
      </c>
      <c r="F3218" s="1">
        <f>IFERROR(__xludf.DUMMYFUNCTION("""COMPUTED_VALUE"""),242317.0)</f>
        <v>242317</v>
      </c>
    </row>
    <row r="3219">
      <c r="A3219" s="2">
        <f>IFERROR(__xludf.DUMMYFUNCTION("""COMPUTED_VALUE"""),44851.66666666667)</f>
        <v>44851.66667</v>
      </c>
      <c r="B3219" s="1">
        <f>IFERROR(__xludf.DUMMYFUNCTION("""COMPUTED_VALUE"""),43.39)</f>
        <v>43.39</v>
      </c>
      <c r="C3219" s="1">
        <f>IFERROR(__xludf.DUMMYFUNCTION("""COMPUTED_VALUE"""),44.05)</f>
        <v>44.05</v>
      </c>
      <c r="D3219" s="1">
        <f>IFERROR(__xludf.DUMMYFUNCTION("""COMPUTED_VALUE"""),43.3)</f>
        <v>43.3</v>
      </c>
      <c r="E3219" s="1">
        <f>IFERROR(__xludf.DUMMYFUNCTION("""COMPUTED_VALUE"""),43.67)</f>
        <v>43.67</v>
      </c>
      <c r="F3219" s="1">
        <f>IFERROR(__xludf.DUMMYFUNCTION("""COMPUTED_VALUE"""),337308.0)</f>
        <v>337308</v>
      </c>
    </row>
    <row r="3220">
      <c r="A3220" s="2">
        <f>IFERROR(__xludf.DUMMYFUNCTION("""COMPUTED_VALUE"""),44852.66666666667)</f>
        <v>44852.66667</v>
      </c>
      <c r="B3220" s="1">
        <f>IFERROR(__xludf.DUMMYFUNCTION("""COMPUTED_VALUE"""),44.18)</f>
        <v>44.18</v>
      </c>
      <c r="C3220" s="1">
        <f>IFERROR(__xludf.DUMMYFUNCTION("""COMPUTED_VALUE"""),44.82)</f>
        <v>44.82</v>
      </c>
      <c r="D3220" s="1">
        <f>IFERROR(__xludf.DUMMYFUNCTION("""COMPUTED_VALUE"""),43.3)</f>
        <v>43.3</v>
      </c>
      <c r="E3220" s="1">
        <f>IFERROR(__xludf.DUMMYFUNCTION("""COMPUTED_VALUE"""),43.77)</f>
        <v>43.77</v>
      </c>
      <c r="F3220" s="1">
        <f>IFERROR(__xludf.DUMMYFUNCTION("""COMPUTED_VALUE"""),355125.0)</f>
        <v>355125</v>
      </c>
    </row>
    <row r="3221">
      <c r="A3221" s="2">
        <f>IFERROR(__xludf.DUMMYFUNCTION("""COMPUTED_VALUE"""),44853.66666666667)</f>
        <v>44853.66667</v>
      </c>
      <c r="B3221" s="1">
        <f>IFERROR(__xludf.DUMMYFUNCTION("""COMPUTED_VALUE"""),43.49)</f>
        <v>43.49</v>
      </c>
      <c r="C3221" s="1">
        <f>IFERROR(__xludf.DUMMYFUNCTION("""COMPUTED_VALUE"""),43.92)</f>
        <v>43.92</v>
      </c>
      <c r="D3221" s="1">
        <f>IFERROR(__xludf.DUMMYFUNCTION("""COMPUTED_VALUE"""),42.78)</f>
        <v>42.78</v>
      </c>
      <c r="E3221" s="1">
        <f>IFERROR(__xludf.DUMMYFUNCTION("""COMPUTED_VALUE"""),43.3)</f>
        <v>43.3</v>
      </c>
      <c r="F3221" s="1">
        <f>IFERROR(__xludf.DUMMYFUNCTION("""COMPUTED_VALUE"""),286451.0)</f>
        <v>286451</v>
      </c>
    </row>
    <row r="3222">
      <c r="A3222" s="2">
        <f>IFERROR(__xludf.DUMMYFUNCTION("""COMPUTED_VALUE"""),44854.66666666667)</f>
        <v>44854.66667</v>
      </c>
      <c r="B3222" s="1">
        <f>IFERROR(__xludf.DUMMYFUNCTION("""COMPUTED_VALUE"""),43.35)</f>
        <v>43.35</v>
      </c>
      <c r="C3222" s="1">
        <f>IFERROR(__xludf.DUMMYFUNCTION("""COMPUTED_VALUE"""),43.55)</f>
        <v>43.55</v>
      </c>
      <c r="D3222" s="1">
        <f>IFERROR(__xludf.DUMMYFUNCTION("""COMPUTED_VALUE"""),40.45)</f>
        <v>40.45</v>
      </c>
      <c r="E3222" s="1">
        <f>IFERROR(__xludf.DUMMYFUNCTION("""COMPUTED_VALUE"""),40.75)</f>
        <v>40.75</v>
      </c>
      <c r="F3222" s="1">
        <f>IFERROR(__xludf.DUMMYFUNCTION("""COMPUTED_VALUE"""),614363.0)</f>
        <v>614363</v>
      </c>
    </row>
    <row r="3223">
      <c r="A3223" s="2">
        <f>IFERROR(__xludf.DUMMYFUNCTION("""COMPUTED_VALUE"""),44855.66666666667)</f>
        <v>44855.66667</v>
      </c>
      <c r="B3223" s="1">
        <f>IFERROR(__xludf.DUMMYFUNCTION("""COMPUTED_VALUE"""),41.1)</f>
        <v>41.1</v>
      </c>
      <c r="C3223" s="1">
        <f>IFERROR(__xludf.DUMMYFUNCTION("""COMPUTED_VALUE"""),41.92)</f>
        <v>41.92</v>
      </c>
      <c r="D3223" s="1">
        <f>IFERROR(__xludf.DUMMYFUNCTION("""COMPUTED_VALUE"""),40.62)</f>
        <v>40.62</v>
      </c>
      <c r="E3223" s="1">
        <f>IFERROR(__xludf.DUMMYFUNCTION("""COMPUTED_VALUE"""),41.61)</f>
        <v>41.61</v>
      </c>
      <c r="F3223" s="1">
        <f>IFERROR(__xludf.DUMMYFUNCTION("""COMPUTED_VALUE"""),545671.0)</f>
        <v>545671</v>
      </c>
    </row>
    <row r="3224">
      <c r="A3224" s="2">
        <f>IFERROR(__xludf.DUMMYFUNCTION("""COMPUTED_VALUE"""),44858.66666666667)</f>
        <v>44858.66667</v>
      </c>
      <c r="B3224" s="1">
        <f>IFERROR(__xludf.DUMMYFUNCTION("""COMPUTED_VALUE"""),42.1)</f>
        <v>42.1</v>
      </c>
      <c r="C3224" s="1">
        <f>IFERROR(__xludf.DUMMYFUNCTION("""COMPUTED_VALUE"""),42.58)</f>
        <v>42.58</v>
      </c>
      <c r="D3224" s="1">
        <f>IFERROR(__xludf.DUMMYFUNCTION("""COMPUTED_VALUE"""),41.83)</f>
        <v>41.83</v>
      </c>
      <c r="E3224" s="1">
        <f>IFERROR(__xludf.DUMMYFUNCTION("""COMPUTED_VALUE"""),42.2)</f>
        <v>42.2</v>
      </c>
      <c r="F3224" s="1">
        <f>IFERROR(__xludf.DUMMYFUNCTION("""COMPUTED_VALUE"""),302988.0)</f>
        <v>302988</v>
      </c>
    </row>
    <row r="3225">
      <c r="A3225" s="2">
        <f>IFERROR(__xludf.DUMMYFUNCTION("""COMPUTED_VALUE"""),44859.66666666667)</f>
        <v>44859.66667</v>
      </c>
      <c r="B3225" s="1">
        <f>IFERROR(__xludf.DUMMYFUNCTION("""COMPUTED_VALUE"""),43.47)</f>
        <v>43.47</v>
      </c>
      <c r="C3225" s="1">
        <f>IFERROR(__xludf.DUMMYFUNCTION("""COMPUTED_VALUE"""),44.77)</f>
        <v>44.77</v>
      </c>
      <c r="D3225" s="1">
        <f>IFERROR(__xludf.DUMMYFUNCTION("""COMPUTED_VALUE"""),42.3)</f>
        <v>42.3</v>
      </c>
      <c r="E3225" s="1">
        <f>IFERROR(__xludf.DUMMYFUNCTION("""COMPUTED_VALUE"""),44.32)</f>
        <v>44.32</v>
      </c>
      <c r="F3225" s="1">
        <f>IFERROR(__xludf.DUMMYFUNCTION("""COMPUTED_VALUE"""),463570.0)</f>
        <v>463570</v>
      </c>
    </row>
    <row r="3226">
      <c r="A3226" s="2">
        <f>IFERROR(__xludf.DUMMYFUNCTION("""COMPUTED_VALUE"""),44860.66666666667)</f>
        <v>44860.66667</v>
      </c>
      <c r="B3226" s="1">
        <f>IFERROR(__xludf.DUMMYFUNCTION("""COMPUTED_VALUE"""),44.73)</f>
        <v>44.73</v>
      </c>
      <c r="C3226" s="1">
        <f>IFERROR(__xludf.DUMMYFUNCTION("""COMPUTED_VALUE"""),44.73)</f>
        <v>44.73</v>
      </c>
      <c r="D3226" s="1">
        <f>IFERROR(__xludf.DUMMYFUNCTION("""COMPUTED_VALUE"""),43.45)</f>
        <v>43.45</v>
      </c>
      <c r="E3226" s="1">
        <f>IFERROR(__xludf.DUMMYFUNCTION("""COMPUTED_VALUE"""),43.48)</f>
        <v>43.48</v>
      </c>
      <c r="F3226" s="1">
        <f>IFERROR(__xludf.DUMMYFUNCTION("""COMPUTED_VALUE"""),339678.0)</f>
        <v>339678</v>
      </c>
    </row>
    <row r="3227">
      <c r="A3227" s="2">
        <f>IFERROR(__xludf.DUMMYFUNCTION("""COMPUTED_VALUE"""),44861.66666666667)</f>
        <v>44861.66667</v>
      </c>
      <c r="B3227" s="1">
        <f>IFERROR(__xludf.DUMMYFUNCTION("""COMPUTED_VALUE"""),43.92)</f>
        <v>43.92</v>
      </c>
      <c r="C3227" s="1">
        <f>IFERROR(__xludf.DUMMYFUNCTION("""COMPUTED_VALUE"""),44.43)</f>
        <v>44.43</v>
      </c>
      <c r="D3227" s="1">
        <f>IFERROR(__xludf.DUMMYFUNCTION("""COMPUTED_VALUE"""),43.67)</f>
        <v>43.67</v>
      </c>
      <c r="E3227" s="1">
        <f>IFERROR(__xludf.DUMMYFUNCTION("""COMPUTED_VALUE"""),43.75)</f>
        <v>43.75</v>
      </c>
      <c r="F3227" s="1">
        <f>IFERROR(__xludf.DUMMYFUNCTION("""COMPUTED_VALUE"""),270532.0)</f>
        <v>270532</v>
      </c>
    </row>
    <row r="3228">
      <c r="A3228" s="2">
        <f>IFERROR(__xludf.DUMMYFUNCTION("""COMPUTED_VALUE"""),44862.66666666667)</f>
        <v>44862.66667</v>
      </c>
      <c r="B3228" s="1">
        <f>IFERROR(__xludf.DUMMYFUNCTION("""COMPUTED_VALUE"""),44.44)</f>
        <v>44.44</v>
      </c>
      <c r="C3228" s="1">
        <f>IFERROR(__xludf.DUMMYFUNCTION("""COMPUTED_VALUE"""),45.03)</f>
        <v>45.03</v>
      </c>
      <c r="D3228" s="1">
        <f>IFERROR(__xludf.DUMMYFUNCTION("""COMPUTED_VALUE"""),43.88)</f>
        <v>43.88</v>
      </c>
      <c r="E3228" s="1">
        <f>IFERROR(__xludf.DUMMYFUNCTION("""COMPUTED_VALUE"""),44.98)</f>
        <v>44.98</v>
      </c>
      <c r="F3228" s="1">
        <f>IFERROR(__xludf.DUMMYFUNCTION("""COMPUTED_VALUE"""),331705.0)</f>
        <v>331705</v>
      </c>
    </row>
    <row r="3229">
      <c r="A3229" s="2">
        <f>IFERROR(__xludf.DUMMYFUNCTION("""COMPUTED_VALUE"""),44865.66666666667)</f>
        <v>44865.66667</v>
      </c>
      <c r="B3229" s="1">
        <f>IFERROR(__xludf.DUMMYFUNCTION("""COMPUTED_VALUE"""),44.94)</f>
        <v>44.94</v>
      </c>
      <c r="C3229" s="1">
        <f>IFERROR(__xludf.DUMMYFUNCTION("""COMPUTED_VALUE"""),45.61)</f>
        <v>45.61</v>
      </c>
      <c r="D3229" s="1">
        <f>IFERROR(__xludf.DUMMYFUNCTION("""COMPUTED_VALUE"""),44.67)</f>
        <v>44.67</v>
      </c>
      <c r="E3229" s="1">
        <f>IFERROR(__xludf.DUMMYFUNCTION("""COMPUTED_VALUE"""),45.6)</f>
        <v>45.6</v>
      </c>
      <c r="F3229" s="1">
        <f>IFERROR(__xludf.DUMMYFUNCTION("""COMPUTED_VALUE"""),319349.0)</f>
        <v>319349</v>
      </c>
    </row>
    <row r="3230">
      <c r="A3230" s="2">
        <f>IFERROR(__xludf.DUMMYFUNCTION("""COMPUTED_VALUE"""),44866.66666666667)</f>
        <v>44866.66667</v>
      </c>
      <c r="B3230" s="1">
        <f>IFERROR(__xludf.DUMMYFUNCTION("""COMPUTED_VALUE"""),45.4)</f>
        <v>45.4</v>
      </c>
      <c r="C3230" s="1">
        <f>IFERROR(__xludf.DUMMYFUNCTION("""COMPUTED_VALUE"""),45.86)</f>
        <v>45.86</v>
      </c>
      <c r="D3230" s="1">
        <f>IFERROR(__xludf.DUMMYFUNCTION("""COMPUTED_VALUE"""),45.36)</f>
        <v>45.36</v>
      </c>
      <c r="E3230" s="1">
        <f>IFERROR(__xludf.DUMMYFUNCTION("""COMPUTED_VALUE"""),45.37)</f>
        <v>45.37</v>
      </c>
      <c r="F3230" s="1">
        <f>IFERROR(__xludf.DUMMYFUNCTION("""COMPUTED_VALUE"""),348303.0)</f>
        <v>348303</v>
      </c>
    </row>
    <row r="3231">
      <c r="A3231" s="2">
        <f>IFERROR(__xludf.DUMMYFUNCTION("""COMPUTED_VALUE"""),44867.66666666667)</f>
        <v>44867.66667</v>
      </c>
      <c r="B3231" s="1">
        <f>IFERROR(__xludf.DUMMYFUNCTION("""COMPUTED_VALUE"""),45.25)</f>
        <v>45.25</v>
      </c>
      <c r="C3231" s="1">
        <f>IFERROR(__xludf.DUMMYFUNCTION("""COMPUTED_VALUE"""),45.46)</f>
        <v>45.46</v>
      </c>
      <c r="D3231" s="1">
        <f>IFERROR(__xludf.DUMMYFUNCTION("""COMPUTED_VALUE"""),44.13)</f>
        <v>44.13</v>
      </c>
      <c r="E3231" s="1">
        <f>IFERROR(__xludf.DUMMYFUNCTION("""COMPUTED_VALUE"""),44.15)</f>
        <v>44.15</v>
      </c>
      <c r="F3231" s="1">
        <f>IFERROR(__xludf.DUMMYFUNCTION("""COMPUTED_VALUE"""),420393.0)</f>
        <v>420393</v>
      </c>
    </row>
    <row r="3232">
      <c r="A3232" s="2">
        <f>IFERROR(__xludf.DUMMYFUNCTION("""COMPUTED_VALUE"""),44868.66666666667)</f>
        <v>44868.66667</v>
      </c>
      <c r="B3232" s="1">
        <f>IFERROR(__xludf.DUMMYFUNCTION("""COMPUTED_VALUE"""),43.8)</f>
        <v>43.8</v>
      </c>
      <c r="C3232" s="1">
        <f>IFERROR(__xludf.DUMMYFUNCTION("""COMPUTED_VALUE"""),43.92)</f>
        <v>43.92</v>
      </c>
      <c r="D3232" s="1">
        <f>IFERROR(__xludf.DUMMYFUNCTION("""COMPUTED_VALUE"""),43.19)</f>
        <v>43.19</v>
      </c>
      <c r="E3232" s="1">
        <f>IFERROR(__xludf.DUMMYFUNCTION("""COMPUTED_VALUE"""),43.6)</f>
        <v>43.6</v>
      </c>
      <c r="F3232" s="1">
        <f>IFERROR(__xludf.DUMMYFUNCTION("""COMPUTED_VALUE"""),276772.0)</f>
        <v>276772</v>
      </c>
    </row>
    <row r="3233">
      <c r="A3233" s="2">
        <f>IFERROR(__xludf.DUMMYFUNCTION("""COMPUTED_VALUE"""),44869.66666666667)</f>
        <v>44869.66667</v>
      </c>
      <c r="B3233" s="1">
        <f>IFERROR(__xludf.DUMMYFUNCTION("""COMPUTED_VALUE"""),44.1)</f>
        <v>44.1</v>
      </c>
      <c r="C3233" s="1">
        <f>IFERROR(__xludf.DUMMYFUNCTION("""COMPUTED_VALUE"""),44.63)</f>
        <v>44.63</v>
      </c>
      <c r="D3233" s="1">
        <f>IFERROR(__xludf.DUMMYFUNCTION("""COMPUTED_VALUE"""),43.84)</f>
        <v>43.84</v>
      </c>
      <c r="E3233" s="1">
        <f>IFERROR(__xludf.DUMMYFUNCTION("""COMPUTED_VALUE"""),44.59)</f>
        <v>44.59</v>
      </c>
      <c r="F3233" s="1">
        <f>IFERROR(__xludf.DUMMYFUNCTION("""COMPUTED_VALUE"""),306227.0)</f>
        <v>306227</v>
      </c>
    </row>
    <row r="3234">
      <c r="A3234" s="2">
        <f>IFERROR(__xludf.DUMMYFUNCTION("""COMPUTED_VALUE"""),44872.66666666667)</f>
        <v>44872.66667</v>
      </c>
      <c r="B3234" s="1">
        <f>IFERROR(__xludf.DUMMYFUNCTION("""COMPUTED_VALUE"""),44.94)</f>
        <v>44.94</v>
      </c>
      <c r="C3234" s="1">
        <f>IFERROR(__xludf.DUMMYFUNCTION("""COMPUTED_VALUE"""),45.1)</f>
        <v>45.1</v>
      </c>
      <c r="D3234" s="1">
        <f>IFERROR(__xludf.DUMMYFUNCTION("""COMPUTED_VALUE"""),44.44)</f>
        <v>44.44</v>
      </c>
      <c r="E3234" s="1">
        <f>IFERROR(__xludf.DUMMYFUNCTION("""COMPUTED_VALUE"""),44.86)</f>
        <v>44.86</v>
      </c>
      <c r="F3234" s="1">
        <f>IFERROR(__xludf.DUMMYFUNCTION("""COMPUTED_VALUE"""),226404.0)</f>
        <v>226404</v>
      </c>
    </row>
    <row r="3235">
      <c r="A3235" s="2">
        <f>IFERROR(__xludf.DUMMYFUNCTION("""COMPUTED_VALUE"""),44873.66666666667)</f>
        <v>44873.66667</v>
      </c>
      <c r="B3235" s="1">
        <f>IFERROR(__xludf.DUMMYFUNCTION("""COMPUTED_VALUE"""),45.11)</f>
        <v>45.11</v>
      </c>
      <c r="C3235" s="1">
        <f>IFERROR(__xludf.DUMMYFUNCTION("""COMPUTED_VALUE"""),45.61)</f>
        <v>45.61</v>
      </c>
      <c r="D3235" s="1">
        <f>IFERROR(__xludf.DUMMYFUNCTION("""COMPUTED_VALUE"""),44.74)</f>
        <v>44.74</v>
      </c>
      <c r="E3235" s="1">
        <f>IFERROR(__xludf.DUMMYFUNCTION("""COMPUTED_VALUE"""),45.21)</f>
        <v>45.21</v>
      </c>
      <c r="F3235" s="1">
        <f>IFERROR(__xludf.DUMMYFUNCTION("""COMPUTED_VALUE"""),267626.0)</f>
        <v>267626</v>
      </c>
    </row>
    <row r="3236">
      <c r="A3236" s="2">
        <f>IFERROR(__xludf.DUMMYFUNCTION("""COMPUTED_VALUE"""),44874.66666666667)</f>
        <v>44874.66667</v>
      </c>
      <c r="B3236" s="1">
        <f>IFERROR(__xludf.DUMMYFUNCTION("""COMPUTED_VALUE"""),45.04)</f>
        <v>45.04</v>
      </c>
      <c r="C3236" s="1">
        <f>IFERROR(__xludf.DUMMYFUNCTION("""COMPUTED_VALUE"""),45.41)</f>
        <v>45.41</v>
      </c>
      <c r="D3236" s="1">
        <f>IFERROR(__xludf.DUMMYFUNCTION("""COMPUTED_VALUE"""),44.63)</f>
        <v>44.63</v>
      </c>
      <c r="E3236" s="1">
        <f>IFERROR(__xludf.DUMMYFUNCTION("""COMPUTED_VALUE"""),44.75)</f>
        <v>44.75</v>
      </c>
      <c r="F3236" s="1">
        <f>IFERROR(__xludf.DUMMYFUNCTION("""COMPUTED_VALUE"""),203972.0)</f>
        <v>203972</v>
      </c>
    </row>
    <row r="3237">
      <c r="A3237" s="2">
        <f>IFERROR(__xludf.DUMMYFUNCTION("""COMPUTED_VALUE"""),44875.66666666667)</f>
        <v>44875.66667</v>
      </c>
      <c r="B3237" s="1">
        <f>IFERROR(__xludf.DUMMYFUNCTION("""COMPUTED_VALUE"""),45.8)</f>
        <v>45.8</v>
      </c>
      <c r="C3237" s="1">
        <f>IFERROR(__xludf.DUMMYFUNCTION("""COMPUTED_VALUE"""),46.83)</f>
        <v>46.83</v>
      </c>
      <c r="D3237" s="1">
        <f>IFERROR(__xludf.DUMMYFUNCTION("""COMPUTED_VALUE"""),45.8)</f>
        <v>45.8</v>
      </c>
      <c r="E3237" s="1">
        <f>IFERROR(__xludf.DUMMYFUNCTION("""COMPUTED_VALUE"""),46.8)</f>
        <v>46.8</v>
      </c>
      <c r="F3237" s="1">
        <f>IFERROR(__xludf.DUMMYFUNCTION("""COMPUTED_VALUE"""),361468.0)</f>
        <v>361468</v>
      </c>
    </row>
    <row r="3238">
      <c r="A3238" s="2">
        <f>IFERROR(__xludf.DUMMYFUNCTION("""COMPUTED_VALUE"""),44876.66666666667)</f>
        <v>44876.66667</v>
      </c>
      <c r="B3238" s="1">
        <f>IFERROR(__xludf.DUMMYFUNCTION("""COMPUTED_VALUE"""),46.71)</f>
        <v>46.71</v>
      </c>
      <c r="C3238" s="1">
        <f>IFERROR(__xludf.DUMMYFUNCTION("""COMPUTED_VALUE"""),47.3)</f>
        <v>47.3</v>
      </c>
      <c r="D3238" s="1">
        <f>IFERROR(__xludf.DUMMYFUNCTION("""COMPUTED_VALUE"""),46.45)</f>
        <v>46.45</v>
      </c>
      <c r="E3238" s="1">
        <f>IFERROR(__xludf.DUMMYFUNCTION("""COMPUTED_VALUE"""),46.54)</f>
        <v>46.54</v>
      </c>
      <c r="F3238" s="1">
        <f>IFERROR(__xludf.DUMMYFUNCTION("""COMPUTED_VALUE"""),266380.0)</f>
        <v>266380</v>
      </c>
    </row>
    <row r="3239">
      <c r="A3239" s="2">
        <f>IFERROR(__xludf.DUMMYFUNCTION("""COMPUTED_VALUE"""),44879.66666666667)</f>
        <v>44879.66667</v>
      </c>
      <c r="B3239" s="1">
        <f>IFERROR(__xludf.DUMMYFUNCTION("""COMPUTED_VALUE"""),46.23)</f>
        <v>46.23</v>
      </c>
      <c r="C3239" s="1">
        <f>IFERROR(__xludf.DUMMYFUNCTION("""COMPUTED_VALUE"""),46.94)</f>
        <v>46.94</v>
      </c>
      <c r="D3239" s="1">
        <f>IFERROR(__xludf.DUMMYFUNCTION("""COMPUTED_VALUE"""),45.8)</f>
        <v>45.8</v>
      </c>
      <c r="E3239" s="1">
        <f>IFERROR(__xludf.DUMMYFUNCTION("""COMPUTED_VALUE"""),45.82)</f>
        <v>45.82</v>
      </c>
      <c r="F3239" s="1">
        <f>IFERROR(__xludf.DUMMYFUNCTION("""COMPUTED_VALUE"""),279172.0)</f>
        <v>279172</v>
      </c>
    </row>
    <row r="3240">
      <c r="A3240" s="2">
        <f>IFERROR(__xludf.DUMMYFUNCTION("""COMPUTED_VALUE"""),44880.66666666667)</f>
        <v>44880.66667</v>
      </c>
      <c r="B3240" s="1">
        <f>IFERROR(__xludf.DUMMYFUNCTION("""COMPUTED_VALUE"""),46.34)</f>
        <v>46.34</v>
      </c>
      <c r="C3240" s="1">
        <f>IFERROR(__xludf.DUMMYFUNCTION("""COMPUTED_VALUE"""),47.19)</f>
        <v>47.19</v>
      </c>
      <c r="D3240" s="1">
        <f>IFERROR(__xludf.DUMMYFUNCTION("""COMPUTED_VALUE"""),46.02)</f>
        <v>46.02</v>
      </c>
      <c r="E3240" s="1">
        <f>IFERROR(__xludf.DUMMYFUNCTION("""COMPUTED_VALUE"""),46.08)</f>
        <v>46.08</v>
      </c>
      <c r="F3240" s="1">
        <f>IFERROR(__xludf.DUMMYFUNCTION("""COMPUTED_VALUE"""),430558.0)</f>
        <v>430558</v>
      </c>
    </row>
    <row r="3241">
      <c r="A3241" s="2">
        <f>IFERROR(__xludf.DUMMYFUNCTION("""COMPUTED_VALUE"""),44881.66666666667)</f>
        <v>44881.66667</v>
      </c>
      <c r="B3241" s="1">
        <f>IFERROR(__xludf.DUMMYFUNCTION("""COMPUTED_VALUE"""),46.07)</f>
        <v>46.07</v>
      </c>
      <c r="C3241" s="1">
        <f>IFERROR(__xludf.DUMMYFUNCTION("""COMPUTED_VALUE"""),46.17)</f>
        <v>46.17</v>
      </c>
      <c r="D3241" s="1">
        <f>IFERROR(__xludf.DUMMYFUNCTION("""COMPUTED_VALUE"""),45.18)</f>
        <v>45.18</v>
      </c>
      <c r="E3241" s="1">
        <f>IFERROR(__xludf.DUMMYFUNCTION("""COMPUTED_VALUE"""),45.32)</f>
        <v>45.32</v>
      </c>
      <c r="F3241" s="1">
        <f>IFERROR(__xludf.DUMMYFUNCTION("""COMPUTED_VALUE"""),396284.0)</f>
        <v>396284</v>
      </c>
    </row>
    <row r="3242">
      <c r="A3242" s="2">
        <f>IFERROR(__xludf.DUMMYFUNCTION("""COMPUTED_VALUE"""),44882.66666666667)</f>
        <v>44882.66667</v>
      </c>
      <c r="B3242" s="1">
        <f>IFERROR(__xludf.DUMMYFUNCTION("""COMPUTED_VALUE"""),44.86)</f>
        <v>44.86</v>
      </c>
      <c r="C3242" s="1">
        <f>IFERROR(__xludf.DUMMYFUNCTION("""COMPUTED_VALUE"""),45.25)</f>
        <v>45.25</v>
      </c>
      <c r="D3242" s="1">
        <f>IFERROR(__xludf.DUMMYFUNCTION("""COMPUTED_VALUE"""),44.36)</f>
        <v>44.36</v>
      </c>
      <c r="E3242" s="1">
        <f>IFERROR(__xludf.DUMMYFUNCTION("""COMPUTED_VALUE"""),44.61)</f>
        <v>44.61</v>
      </c>
      <c r="F3242" s="1">
        <f>IFERROR(__xludf.DUMMYFUNCTION("""COMPUTED_VALUE"""),305594.0)</f>
        <v>305594</v>
      </c>
    </row>
    <row r="3243">
      <c r="A3243" s="2">
        <f>IFERROR(__xludf.DUMMYFUNCTION("""COMPUTED_VALUE"""),44883.66666666667)</f>
        <v>44883.66667</v>
      </c>
      <c r="B3243" s="1">
        <f>IFERROR(__xludf.DUMMYFUNCTION("""COMPUTED_VALUE"""),45.66)</f>
        <v>45.66</v>
      </c>
      <c r="C3243" s="1">
        <f>IFERROR(__xludf.DUMMYFUNCTION("""COMPUTED_VALUE"""),45.66)</f>
        <v>45.66</v>
      </c>
      <c r="D3243" s="1">
        <f>IFERROR(__xludf.DUMMYFUNCTION("""COMPUTED_VALUE"""),44.83)</f>
        <v>44.83</v>
      </c>
      <c r="E3243" s="1">
        <f>IFERROR(__xludf.DUMMYFUNCTION("""COMPUTED_VALUE"""),45.19)</f>
        <v>45.19</v>
      </c>
      <c r="F3243" s="1">
        <f>IFERROR(__xludf.DUMMYFUNCTION("""COMPUTED_VALUE"""),644286.0)</f>
        <v>644286</v>
      </c>
    </row>
    <row r="3244">
      <c r="A3244" s="2">
        <f>IFERROR(__xludf.DUMMYFUNCTION("""COMPUTED_VALUE"""),44886.66666666667)</f>
        <v>44886.66667</v>
      </c>
      <c r="B3244" s="1">
        <f>IFERROR(__xludf.DUMMYFUNCTION("""COMPUTED_VALUE"""),44.98)</f>
        <v>44.98</v>
      </c>
      <c r="C3244" s="1">
        <f>IFERROR(__xludf.DUMMYFUNCTION("""COMPUTED_VALUE"""),45.4)</f>
        <v>45.4</v>
      </c>
      <c r="D3244" s="1">
        <f>IFERROR(__xludf.DUMMYFUNCTION("""COMPUTED_VALUE"""),44.87)</f>
        <v>44.87</v>
      </c>
      <c r="E3244" s="1">
        <f>IFERROR(__xludf.DUMMYFUNCTION("""COMPUTED_VALUE"""),45.02)</f>
        <v>45.02</v>
      </c>
      <c r="F3244" s="1">
        <f>IFERROR(__xludf.DUMMYFUNCTION("""COMPUTED_VALUE"""),222839.0)</f>
        <v>222839</v>
      </c>
    </row>
    <row r="3245">
      <c r="A3245" s="2">
        <f>IFERROR(__xludf.DUMMYFUNCTION("""COMPUTED_VALUE"""),44887.66666666667)</f>
        <v>44887.66667</v>
      </c>
      <c r="B3245" s="1">
        <f>IFERROR(__xludf.DUMMYFUNCTION("""COMPUTED_VALUE"""),45.15)</f>
        <v>45.15</v>
      </c>
      <c r="C3245" s="1">
        <f>IFERROR(__xludf.DUMMYFUNCTION("""COMPUTED_VALUE"""),45.94)</f>
        <v>45.94</v>
      </c>
      <c r="D3245" s="1">
        <f>IFERROR(__xludf.DUMMYFUNCTION("""COMPUTED_VALUE"""),45.09)</f>
        <v>45.09</v>
      </c>
      <c r="E3245" s="1">
        <f>IFERROR(__xludf.DUMMYFUNCTION("""COMPUTED_VALUE"""),45.81)</f>
        <v>45.81</v>
      </c>
      <c r="F3245" s="1">
        <f>IFERROR(__xludf.DUMMYFUNCTION("""COMPUTED_VALUE"""),249326.0)</f>
        <v>249326</v>
      </c>
    </row>
    <row r="3246">
      <c r="A3246" s="2">
        <f>IFERROR(__xludf.DUMMYFUNCTION("""COMPUTED_VALUE"""),44888.66666666667)</f>
        <v>44888.66667</v>
      </c>
      <c r="B3246" s="1">
        <f>IFERROR(__xludf.DUMMYFUNCTION("""COMPUTED_VALUE"""),45.62)</f>
        <v>45.62</v>
      </c>
      <c r="C3246" s="1">
        <f>IFERROR(__xludf.DUMMYFUNCTION("""COMPUTED_VALUE"""),45.91)</f>
        <v>45.91</v>
      </c>
      <c r="D3246" s="1">
        <f>IFERROR(__xludf.DUMMYFUNCTION("""COMPUTED_VALUE"""),45.22)</f>
        <v>45.22</v>
      </c>
      <c r="E3246" s="1">
        <f>IFERROR(__xludf.DUMMYFUNCTION("""COMPUTED_VALUE"""),45.46)</f>
        <v>45.46</v>
      </c>
      <c r="F3246" s="1">
        <f>IFERROR(__xludf.DUMMYFUNCTION("""COMPUTED_VALUE"""),149777.0)</f>
        <v>149777</v>
      </c>
    </row>
    <row r="3247">
      <c r="A3247" s="2">
        <f>IFERROR(__xludf.DUMMYFUNCTION("""COMPUTED_VALUE"""),44890.54513888889)</f>
        <v>44890.54514</v>
      </c>
      <c r="B3247" s="1">
        <f>IFERROR(__xludf.DUMMYFUNCTION("""COMPUTED_VALUE"""),45.43)</f>
        <v>45.43</v>
      </c>
      <c r="C3247" s="1">
        <f>IFERROR(__xludf.DUMMYFUNCTION("""COMPUTED_VALUE"""),46.11)</f>
        <v>46.11</v>
      </c>
      <c r="D3247" s="1">
        <f>IFERROR(__xludf.DUMMYFUNCTION("""COMPUTED_VALUE"""),45.43)</f>
        <v>45.43</v>
      </c>
      <c r="E3247" s="1">
        <f>IFERROR(__xludf.DUMMYFUNCTION("""COMPUTED_VALUE"""),46.0)</f>
        <v>46</v>
      </c>
      <c r="F3247" s="1">
        <f>IFERROR(__xludf.DUMMYFUNCTION("""COMPUTED_VALUE"""),104036.0)</f>
        <v>104036</v>
      </c>
    </row>
    <row r="3248">
      <c r="A3248" s="2">
        <f>IFERROR(__xludf.DUMMYFUNCTION("""COMPUTED_VALUE"""),44893.66666666667)</f>
        <v>44893.66667</v>
      </c>
      <c r="B3248" s="1">
        <f>IFERROR(__xludf.DUMMYFUNCTION("""COMPUTED_VALUE"""),45.39)</f>
        <v>45.39</v>
      </c>
      <c r="C3248" s="1">
        <f>IFERROR(__xludf.DUMMYFUNCTION("""COMPUTED_VALUE"""),45.61)</f>
        <v>45.61</v>
      </c>
      <c r="D3248" s="1">
        <f>IFERROR(__xludf.DUMMYFUNCTION("""COMPUTED_VALUE"""),44.92)</f>
        <v>44.92</v>
      </c>
      <c r="E3248" s="1">
        <f>IFERROR(__xludf.DUMMYFUNCTION("""COMPUTED_VALUE"""),45.08)</f>
        <v>45.08</v>
      </c>
      <c r="F3248" s="1">
        <f>IFERROR(__xludf.DUMMYFUNCTION("""COMPUTED_VALUE"""),287493.0)</f>
        <v>287493</v>
      </c>
    </row>
    <row r="3249">
      <c r="A3249" s="2">
        <f>IFERROR(__xludf.DUMMYFUNCTION("""COMPUTED_VALUE"""),44894.66666666667)</f>
        <v>44894.66667</v>
      </c>
      <c r="B3249" s="1">
        <f>IFERROR(__xludf.DUMMYFUNCTION("""COMPUTED_VALUE"""),45.08)</f>
        <v>45.08</v>
      </c>
      <c r="C3249" s="1">
        <f>IFERROR(__xludf.DUMMYFUNCTION("""COMPUTED_VALUE"""),45.66)</f>
        <v>45.66</v>
      </c>
      <c r="D3249" s="1">
        <f>IFERROR(__xludf.DUMMYFUNCTION("""COMPUTED_VALUE"""),44.93)</f>
        <v>44.93</v>
      </c>
      <c r="E3249" s="1">
        <f>IFERROR(__xludf.DUMMYFUNCTION("""COMPUTED_VALUE"""),45.6)</f>
        <v>45.6</v>
      </c>
      <c r="F3249" s="1">
        <f>IFERROR(__xludf.DUMMYFUNCTION("""COMPUTED_VALUE"""),276481.0)</f>
        <v>276481</v>
      </c>
    </row>
    <row r="3250">
      <c r="A3250" s="2">
        <f>IFERROR(__xludf.DUMMYFUNCTION("""COMPUTED_VALUE"""),44895.66666666667)</f>
        <v>44895.66667</v>
      </c>
      <c r="B3250" s="1">
        <f>IFERROR(__xludf.DUMMYFUNCTION("""COMPUTED_VALUE"""),45.07)</f>
        <v>45.07</v>
      </c>
      <c r="C3250" s="1">
        <f>IFERROR(__xludf.DUMMYFUNCTION("""COMPUTED_VALUE"""),46.54)</f>
        <v>46.54</v>
      </c>
      <c r="D3250" s="1">
        <f>IFERROR(__xludf.DUMMYFUNCTION("""COMPUTED_VALUE"""),44.77)</f>
        <v>44.77</v>
      </c>
      <c r="E3250" s="1">
        <f>IFERROR(__xludf.DUMMYFUNCTION("""COMPUTED_VALUE"""),46.47)</f>
        <v>46.47</v>
      </c>
      <c r="F3250" s="1">
        <f>IFERROR(__xludf.DUMMYFUNCTION("""COMPUTED_VALUE"""),341475.0)</f>
        <v>341475</v>
      </c>
    </row>
    <row r="3251">
      <c r="A3251" s="2">
        <f>IFERROR(__xludf.DUMMYFUNCTION("""COMPUTED_VALUE"""),44896.66666666667)</f>
        <v>44896.66667</v>
      </c>
      <c r="B3251" s="1">
        <f>IFERROR(__xludf.DUMMYFUNCTION("""COMPUTED_VALUE"""),46.73)</f>
        <v>46.73</v>
      </c>
      <c r="C3251" s="1">
        <f>IFERROR(__xludf.DUMMYFUNCTION("""COMPUTED_VALUE"""),46.78)</f>
        <v>46.78</v>
      </c>
      <c r="D3251" s="1">
        <f>IFERROR(__xludf.DUMMYFUNCTION("""COMPUTED_VALUE"""),45.92)</f>
        <v>45.92</v>
      </c>
      <c r="E3251" s="1">
        <f>IFERROR(__xludf.DUMMYFUNCTION("""COMPUTED_VALUE"""),46.36)</f>
        <v>46.36</v>
      </c>
      <c r="F3251" s="1">
        <f>IFERROR(__xludf.DUMMYFUNCTION("""COMPUTED_VALUE"""),251167.0)</f>
        <v>251167</v>
      </c>
    </row>
    <row r="3252">
      <c r="A3252" s="2">
        <f>IFERROR(__xludf.DUMMYFUNCTION("""COMPUTED_VALUE"""),44897.66666666667)</f>
        <v>44897.66667</v>
      </c>
      <c r="B3252" s="1">
        <f>IFERROR(__xludf.DUMMYFUNCTION("""COMPUTED_VALUE"""),45.94)</f>
        <v>45.94</v>
      </c>
      <c r="C3252" s="1">
        <f>IFERROR(__xludf.DUMMYFUNCTION("""COMPUTED_VALUE"""),46.51)</f>
        <v>46.51</v>
      </c>
      <c r="D3252" s="1">
        <f>IFERROR(__xludf.DUMMYFUNCTION("""COMPUTED_VALUE"""),45.94)</f>
        <v>45.94</v>
      </c>
      <c r="E3252" s="1">
        <f>IFERROR(__xludf.DUMMYFUNCTION("""COMPUTED_VALUE"""),46.43)</f>
        <v>46.43</v>
      </c>
      <c r="F3252" s="1">
        <f>IFERROR(__xludf.DUMMYFUNCTION("""COMPUTED_VALUE"""),270012.0)</f>
        <v>270012</v>
      </c>
    </row>
    <row r="3253">
      <c r="A3253" s="2">
        <f>IFERROR(__xludf.DUMMYFUNCTION("""COMPUTED_VALUE"""),44900.66666666667)</f>
        <v>44900.66667</v>
      </c>
      <c r="B3253" s="1">
        <f>IFERROR(__xludf.DUMMYFUNCTION("""COMPUTED_VALUE"""),45.9)</f>
        <v>45.9</v>
      </c>
      <c r="C3253" s="1">
        <f>IFERROR(__xludf.DUMMYFUNCTION("""COMPUTED_VALUE"""),46.39)</f>
        <v>46.39</v>
      </c>
      <c r="D3253" s="1">
        <f>IFERROR(__xludf.DUMMYFUNCTION("""COMPUTED_VALUE"""),43.77)</f>
        <v>43.77</v>
      </c>
      <c r="E3253" s="1">
        <f>IFERROR(__xludf.DUMMYFUNCTION("""COMPUTED_VALUE"""),44.0)</f>
        <v>44</v>
      </c>
      <c r="F3253" s="1">
        <f>IFERROR(__xludf.DUMMYFUNCTION("""COMPUTED_VALUE"""),401170.0)</f>
        <v>401170</v>
      </c>
    </row>
    <row r="3254">
      <c r="A3254" s="2">
        <f>IFERROR(__xludf.DUMMYFUNCTION("""COMPUTED_VALUE"""),44901.66666666667)</f>
        <v>44901.66667</v>
      </c>
      <c r="B3254" s="1">
        <f>IFERROR(__xludf.DUMMYFUNCTION("""COMPUTED_VALUE"""),44.1)</f>
        <v>44.1</v>
      </c>
      <c r="C3254" s="1">
        <f>IFERROR(__xludf.DUMMYFUNCTION("""COMPUTED_VALUE"""),44.5)</f>
        <v>44.5</v>
      </c>
      <c r="D3254" s="1">
        <f>IFERROR(__xludf.DUMMYFUNCTION("""COMPUTED_VALUE"""),43.46)</f>
        <v>43.46</v>
      </c>
      <c r="E3254" s="1">
        <f>IFERROR(__xludf.DUMMYFUNCTION("""COMPUTED_VALUE"""),43.65)</f>
        <v>43.65</v>
      </c>
      <c r="F3254" s="1">
        <f>IFERROR(__xludf.DUMMYFUNCTION("""COMPUTED_VALUE"""),289638.0)</f>
        <v>289638</v>
      </c>
    </row>
    <row r="3255">
      <c r="A3255" s="2">
        <f>IFERROR(__xludf.DUMMYFUNCTION("""COMPUTED_VALUE"""),44902.66666666667)</f>
        <v>44902.66667</v>
      </c>
      <c r="B3255" s="1">
        <f>IFERROR(__xludf.DUMMYFUNCTION("""COMPUTED_VALUE"""),43.12)</f>
        <v>43.12</v>
      </c>
      <c r="C3255" s="1">
        <f>IFERROR(__xludf.DUMMYFUNCTION("""COMPUTED_VALUE"""),44.04)</f>
        <v>44.04</v>
      </c>
      <c r="D3255" s="1">
        <f>IFERROR(__xludf.DUMMYFUNCTION("""COMPUTED_VALUE"""),43.0)</f>
        <v>43</v>
      </c>
      <c r="E3255" s="1">
        <f>IFERROR(__xludf.DUMMYFUNCTION("""COMPUTED_VALUE"""),43.56)</f>
        <v>43.56</v>
      </c>
      <c r="F3255" s="1">
        <f>IFERROR(__xludf.DUMMYFUNCTION("""COMPUTED_VALUE"""),253784.0)</f>
        <v>253784</v>
      </c>
    </row>
    <row r="3256">
      <c r="A3256" s="2">
        <f>IFERROR(__xludf.DUMMYFUNCTION("""COMPUTED_VALUE"""),44903.66666666667)</f>
        <v>44903.66667</v>
      </c>
      <c r="B3256" s="1">
        <f>IFERROR(__xludf.DUMMYFUNCTION("""COMPUTED_VALUE"""),43.72)</f>
        <v>43.72</v>
      </c>
      <c r="C3256" s="1">
        <f>IFERROR(__xludf.DUMMYFUNCTION("""COMPUTED_VALUE"""),44.0)</f>
        <v>44</v>
      </c>
      <c r="D3256" s="1">
        <f>IFERROR(__xludf.DUMMYFUNCTION("""COMPUTED_VALUE"""),43.28)</f>
        <v>43.28</v>
      </c>
      <c r="E3256" s="1">
        <f>IFERROR(__xludf.DUMMYFUNCTION("""COMPUTED_VALUE"""),43.7)</f>
        <v>43.7</v>
      </c>
      <c r="F3256" s="1">
        <f>IFERROR(__xludf.DUMMYFUNCTION("""COMPUTED_VALUE"""),281357.0)</f>
        <v>281357</v>
      </c>
    </row>
    <row r="3257">
      <c r="A3257" s="2">
        <f>IFERROR(__xludf.DUMMYFUNCTION("""COMPUTED_VALUE"""),44904.66666666667)</f>
        <v>44904.66667</v>
      </c>
      <c r="B3257" s="1">
        <f>IFERROR(__xludf.DUMMYFUNCTION("""COMPUTED_VALUE"""),43.55)</f>
        <v>43.55</v>
      </c>
      <c r="C3257" s="1">
        <f>IFERROR(__xludf.DUMMYFUNCTION("""COMPUTED_VALUE"""),43.79)</f>
        <v>43.79</v>
      </c>
      <c r="D3257" s="1">
        <f>IFERROR(__xludf.DUMMYFUNCTION("""COMPUTED_VALUE"""),42.98)</f>
        <v>42.98</v>
      </c>
      <c r="E3257" s="1">
        <f>IFERROR(__xludf.DUMMYFUNCTION("""COMPUTED_VALUE"""),43.01)</f>
        <v>43.01</v>
      </c>
      <c r="F3257" s="1">
        <f>IFERROR(__xludf.DUMMYFUNCTION("""COMPUTED_VALUE"""),227881.0)</f>
        <v>227881</v>
      </c>
    </row>
    <row r="3258">
      <c r="A3258" s="2">
        <f>IFERROR(__xludf.DUMMYFUNCTION("""COMPUTED_VALUE"""),44907.66666666667)</f>
        <v>44907.66667</v>
      </c>
      <c r="B3258" s="1">
        <f>IFERROR(__xludf.DUMMYFUNCTION("""COMPUTED_VALUE"""),43.06)</f>
        <v>43.06</v>
      </c>
      <c r="C3258" s="1">
        <f>IFERROR(__xludf.DUMMYFUNCTION("""COMPUTED_VALUE"""),43.6)</f>
        <v>43.6</v>
      </c>
      <c r="D3258" s="1">
        <f>IFERROR(__xludf.DUMMYFUNCTION("""COMPUTED_VALUE"""),42.56)</f>
        <v>42.56</v>
      </c>
      <c r="E3258" s="1">
        <f>IFERROR(__xludf.DUMMYFUNCTION("""COMPUTED_VALUE"""),43.34)</f>
        <v>43.34</v>
      </c>
      <c r="F3258" s="1">
        <f>IFERROR(__xludf.DUMMYFUNCTION("""COMPUTED_VALUE"""),217530.0)</f>
        <v>217530</v>
      </c>
    </row>
    <row r="3259">
      <c r="A3259" s="2">
        <f>IFERROR(__xludf.DUMMYFUNCTION("""COMPUTED_VALUE"""),44908.66666666667)</f>
        <v>44908.66667</v>
      </c>
      <c r="B3259" s="1">
        <f>IFERROR(__xludf.DUMMYFUNCTION("""COMPUTED_VALUE"""),44.86)</f>
        <v>44.86</v>
      </c>
      <c r="C3259" s="1">
        <f>IFERROR(__xludf.DUMMYFUNCTION("""COMPUTED_VALUE"""),45.03)</f>
        <v>45.03</v>
      </c>
      <c r="D3259" s="1">
        <f>IFERROR(__xludf.DUMMYFUNCTION("""COMPUTED_VALUE"""),42.48)</f>
        <v>42.48</v>
      </c>
      <c r="E3259" s="1">
        <f>IFERROR(__xludf.DUMMYFUNCTION("""COMPUTED_VALUE"""),42.63)</f>
        <v>42.63</v>
      </c>
      <c r="F3259" s="1">
        <f>IFERROR(__xludf.DUMMYFUNCTION("""COMPUTED_VALUE"""),458631.0)</f>
        <v>458631</v>
      </c>
    </row>
    <row r="3260">
      <c r="A3260" s="2">
        <f>IFERROR(__xludf.DUMMYFUNCTION("""COMPUTED_VALUE"""),44909.66666666667)</f>
        <v>44909.66667</v>
      </c>
      <c r="B3260" s="1">
        <f>IFERROR(__xludf.DUMMYFUNCTION("""COMPUTED_VALUE"""),42.6)</f>
        <v>42.6</v>
      </c>
      <c r="C3260" s="1">
        <f>IFERROR(__xludf.DUMMYFUNCTION("""COMPUTED_VALUE"""),43.66)</f>
        <v>43.66</v>
      </c>
      <c r="D3260" s="1">
        <f>IFERROR(__xludf.DUMMYFUNCTION("""COMPUTED_VALUE"""),41.22)</f>
        <v>41.22</v>
      </c>
      <c r="E3260" s="1">
        <f>IFERROR(__xludf.DUMMYFUNCTION("""COMPUTED_VALUE"""),41.29)</f>
        <v>41.29</v>
      </c>
      <c r="F3260" s="1">
        <f>IFERROR(__xludf.DUMMYFUNCTION("""COMPUTED_VALUE"""),327371.0)</f>
        <v>327371</v>
      </c>
    </row>
    <row r="3261">
      <c r="A3261" s="2">
        <f>IFERROR(__xludf.DUMMYFUNCTION("""COMPUTED_VALUE"""),44910.66666666667)</f>
        <v>44910.66667</v>
      </c>
      <c r="B3261" s="1">
        <f>IFERROR(__xludf.DUMMYFUNCTION("""COMPUTED_VALUE"""),40.9)</f>
        <v>40.9</v>
      </c>
      <c r="C3261" s="1">
        <f>IFERROR(__xludf.DUMMYFUNCTION("""COMPUTED_VALUE"""),41.42)</f>
        <v>41.42</v>
      </c>
      <c r="D3261" s="1">
        <f>IFERROR(__xludf.DUMMYFUNCTION("""COMPUTED_VALUE"""),40.31)</f>
        <v>40.31</v>
      </c>
      <c r="E3261" s="1">
        <f>IFERROR(__xludf.DUMMYFUNCTION("""COMPUTED_VALUE"""),40.73)</f>
        <v>40.73</v>
      </c>
      <c r="F3261" s="1">
        <f>IFERROR(__xludf.DUMMYFUNCTION("""COMPUTED_VALUE"""),256048.0)</f>
        <v>256048</v>
      </c>
    </row>
    <row r="3262">
      <c r="A3262" s="2">
        <f>IFERROR(__xludf.DUMMYFUNCTION("""COMPUTED_VALUE"""),44911.66666666667)</f>
        <v>44911.66667</v>
      </c>
      <c r="B3262" s="1">
        <f>IFERROR(__xludf.DUMMYFUNCTION("""COMPUTED_VALUE"""),40.14)</f>
        <v>40.14</v>
      </c>
      <c r="C3262" s="1">
        <f>IFERROR(__xludf.DUMMYFUNCTION("""COMPUTED_VALUE"""),40.78)</f>
        <v>40.78</v>
      </c>
      <c r="D3262" s="1">
        <f>IFERROR(__xludf.DUMMYFUNCTION("""COMPUTED_VALUE"""),39.9)</f>
        <v>39.9</v>
      </c>
      <c r="E3262" s="1">
        <f>IFERROR(__xludf.DUMMYFUNCTION("""COMPUTED_VALUE"""),39.96)</f>
        <v>39.96</v>
      </c>
      <c r="F3262" s="1">
        <f>IFERROR(__xludf.DUMMYFUNCTION("""COMPUTED_VALUE"""),803933.0)</f>
        <v>803933</v>
      </c>
    </row>
    <row r="3263">
      <c r="A3263" s="2">
        <f>IFERROR(__xludf.DUMMYFUNCTION("""COMPUTED_VALUE"""),44914.66666666667)</f>
        <v>44914.66667</v>
      </c>
      <c r="B3263" s="1">
        <f>IFERROR(__xludf.DUMMYFUNCTION("""COMPUTED_VALUE"""),40.22)</f>
        <v>40.22</v>
      </c>
      <c r="C3263" s="1">
        <f>IFERROR(__xludf.DUMMYFUNCTION("""COMPUTED_VALUE"""),40.52)</f>
        <v>40.52</v>
      </c>
      <c r="D3263" s="1">
        <f>IFERROR(__xludf.DUMMYFUNCTION("""COMPUTED_VALUE"""),39.95)</f>
        <v>39.95</v>
      </c>
      <c r="E3263" s="1">
        <f>IFERROR(__xludf.DUMMYFUNCTION("""COMPUTED_VALUE"""),40.33)</f>
        <v>40.33</v>
      </c>
      <c r="F3263" s="1">
        <f>IFERROR(__xludf.DUMMYFUNCTION("""COMPUTED_VALUE"""),295942.0)</f>
        <v>295942</v>
      </c>
    </row>
    <row r="3264">
      <c r="A3264" s="2">
        <f>IFERROR(__xludf.DUMMYFUNCTION("""COMPUTED_VALUE"""),44915.66666666667)</f>
        <v>44915.66667</v>
      </c>
      <c r="B3264" s="1">
        <f>IFERROR(__xludf.DUMMYFUNCTION("""COMPUTED_VALUE"""),40.69)</f>
        <v>40.69</v>
      </c>
      <c r="C3264" s="1">
        <f>IFERROR(__xludf.DUMMYFUNCTION("""COMPUTED_VALUE"""),41.16)</f>
        <v>41.16</v>
      </c>
      <c r="D3264" s="1">
        <f>IFERROR(__xludf.DUMMYFUNCTION("""COMPUTED_VALUE"""),40.43)</f>
        <v>40.43</v>
      </c>
      <c r="E3264" s="1">
        <f>IFERROR(__xludf.DUMMYFUNCTION("""COMPUTED_VALUE"""),40.69)</f>
        <v>40.69</v>
      </c>
      <c r="F3264" s="1">
        <f>IFERROR(__xludf.DUMMYFUNCTION("""COMPUTED_VALUE"""),221737.0)</f>
        <v>221737</v>
      </c>
    </row>
    <row r="3265">
      <c r="A3265" s="2">
        <f>IFERROR(__xludf.DUMMYFUNCTION("""COMPUTED_VALUE"""),44916.66666666667)</f>
        <v>44916.66667</v>
      </c>
      <c r="B3265" s="1">
        <f>IFERROR(__xludf.DUMMYFUNCTION("""COMPUTED_VALUE"""),40.99)</f>
        <v>40.99</v>
      </c>
      <c r="C3265" s="1">
        <f>IFERROR(__xludf.DUMMYFUNCTION("""COMPUTED_VALUE"""),41.59)</f>
        <v>41.59</v>
      </c>
      <c r="D3265" s="1">
        <f>IFERROR(__xludf.DUMMYFUNCTION("""COMPUTED_VALUE"""),40.99)</f>
        <v>40.99</v>
      </c>
      <c r="E3265" s="1">
        <f>IFERROR(__xludf.DUMMYFUNCTION("""COMPUTED_VALUE"""),41.35)</f>
        <v>41.35</v>
      </c>
      <c r="F3265" s="1">
        <f>IFERROR(__xludf.DUMMYFUNCTION("""COMPUTED_VALUE"""),250309.0)</f>
        <v>250309</v>
      </c>
    </row>
    <row r="3266">
      <c r="A3266" s="2">
        <f>IFERROR(__xludf.DUMMYFUNCTION("""COMPUTED_VALUE"""),44917.66666666667)</f>
        <v>44917.66667</v>
      </c>
      <c r="B3266" s="1">
        <f>IFERROR(__xludf.DUMMYFUNCTION("""COMPUTED_VALUE"""),41.12)</f>
        <v>41.12</v>
      </c>
      <c r="C3266" s="1">
        <f>IFERROR(__xludf.DUMMYFUNCTION("""COMPUTED_VALUE"""),41.35)</f>
        <v>41.35</v>
      </c>
      <c r="D3266" s="1">
        <f>IFERROR(__xludf.DUMMYFUNCTION("""COMPUTED_VALUE"""),40.22)</f>
        <v>40.22</v>
      </c>
      <c r="E3266" s="1">
        <f>IFERROR(__xludf.DUMMYFUNCTION("""COMPUTED_VALUE"""),41.0)</f>
        <v>41</v>
      </c>
      <c r="F3266" s="1">
        <f>IFERROR(__xludf.DUMMYFUNCTION("""COMPUTED_VALUE"""),210225.0)</f>
        <v>210225</v>
      </c>
    </row>
    <row r="3267">
      <c r="A3267" s="2">
        <f>IFERROR(__xludf.DUMMYFUNCTION("""COMPUTED_VALUE"""),44918.66666666667)</f>
        <v>44918.66667</v>
      </c>
      <c r="B3267" s="1">
        <f>IFERROR(__xludf.DUMMYFUNCTION("""COMPUTED_VALUE"""),40.86)</f>
        <v>40.86</v>
      </c>
      <c r="C3267" s="1">
        <f>IFERROR(__xludf.DUMMYFUNCTION("""COMPUTED_VALUE"""),41.33)</f>
        <v>41.33</v>
      </c>
      <c r="D3267" s="1">
        <f>IFERROR(__xludf.DUMMYFUNCTION("""COMPUTED_VALUE"""),40.76)</f>
        <v>40.76</v>
      </c>
      <c r="E3267" s="1">
        <f>IFERROR(__xludf.DUMMYFUNCTION("""COMPUTED_VALUE"""),41.11)</f>
        <v>41.11</v>
      </c>
      <c r="F3267" s="1">
        <f>IFERROR(__xludf.DUMMYFUNCTION("""COMPUTED_VALUE"""),120322.0)</f>
        <v>120322</v>
      </c>
    </row>
    <row r="3268">
      <c r="A3268" s="2">
        <f>IFERROR(__xludf.DUMMYFUNCTION("""COMPUTED_VALUE"""),44922.66666666667)</f>
        <v>44922.66667</v>
      </c>
      <c r="B3268" s="1">
        <f>IFERROR(__xludf.DUMMYFUNCTION("""COMPUTED_VALUE"""),41.34)</f>
        <v>41.34</v>
      </c>
      <c r="C3268" s="1">
        <f>IFERROR(__xludf.DUMMYFUNCTION("""COMPUTED_VALUE"""),41.34)</f>
        <v>41.34</v>
      </c>
      <c r="D3268" s="1">
        <f>IFERROR(__xludf.DUMMYFUNCTION("""COMPUTED_VALUE"""),40.77)</f>
        <v>40.77</v>
      </c>
      <c r="E3268" s="1">
        <f>IFERROR(__xludf.DUMMYFUNCTION("""COMPUTED_VALUE"""),41.0)</f>
        <v>41</v>
      </c>
      <c r="F3268" s="1">
        <f>IFERROR(__xludf.DUMMYFUNCTION("""COMPUTED_VALUE"""),153897.0)</f>
        <v>153897</v>
      </c>
    </row>
    <row r="3269">
      <c r="A3269" s="2">
        <f>IFERROR(__xludf.DUMMYFUNCTION("""COMPUTED_VALUE"""),44923.66666666667)</f>
        <v>44923.66667</v>
      </c>
      <c r="B3269" s="1">
        <f>IFERROR(__xludf.DUMMYFUNCTION("""COMPUTED_VALUE"""),41.02)</f>
        <v>41.02</v>
      </c>
      <c r="C3269" s="1">
        <f>IFERROR(__xludf.DUMMYFUNCTION("""COMPUTED_VALUE"""),41.19)</f>
        <v>41.19</v>
      </c>
      <c r="D3269" s="1">
        <f>IFERROR(__xludf.DUMMYFUNCTION("""COMPUTED_VALUE"""),40.34)</f>
        <v>40.34</v>
      </c>
      <c r="E3269" s="1">
        <f>IFERROR(__xludf.DUMMYFUNCTION("""COMPUTED_VALUE"""),40.34)</f>
        <v>40.34</v>
      </c>
      <c r="F3269" s="1">
        <f>IFERROR(__xludf.DUMMYFUNCTION("""COMPUTED_VALUE"""),255986.0)</f>
        <v>255986</v>
      </c>
    </row>
    <row r="3270">
      <c r="A3270" s="2">
        <f>IFERROR(__xludf.DUMMYFUNCTION("""COMPUTED_VALUE"""),44924.66666666667)</f>
        <v>44924.66667</v>
      </c>
      <c r="B3270" s="1">
        <f>IFERROR(__xludf.DUMMYFUNCTION("""COMPUTED_VALUE"""),40.64)</f>
        <v>40.64</v>
      </c>
      <c r="C3270" s="1">
        <f>IFERROR(__xludf.DUMMYFUNCTION("""COMPUTED_VALUE"""),41.13)</f>
        <v>41.13</v>
      </c>
      <c r="D3270" s="1">
        <f>IFERROR(__xludf.DUMMYFUNCTION("""COMPUTED_VALUE"""),40.4)</f>
        <v>40.4</v>
      </c>
      <c r="E3270" s="1">
        <f>IFERROR(__xludf.DUMMYFUNCTION("""COMPUTED_VALUE"""),40.99)</f>
        <v>40.99</v>
      </c>
      <c r="F3270" s="1">
        <f>IFERROR(__xludf.DUMMYFUNCTION("""COMPUTED_VALUE"""),224815.0)</f>
        <v>224815</v>
      </c>
    </row>
    <row r="3271">
      <c r="A3271" s="2">
        <f>IFERROR(__xludf.DUMMYFUNCTION("""COMPUTED_VALUE"""),44925.66666666667)</f>
        <v>44925.66667</v>
      </c>
      <c r="B3271" s="1">
        <f>IFERROR(__xludf.DUMMYFUNCTION("""COMPUTED_VALUE"""),40.76)</f>
        <v>40.76</v>
      </c>
      <c r="C3271" s="1">
        <f>IFERROR(__xludf.DUMMYFUNCTION("""COMPUTED_VALUE"""),40.96)</f>
        <v>40.96</v>
      </c>
      <c r="D3271" s="1">
        <f>IFERROR(__xludf.DUMMYFUNCTION("""COMPUTED_VALUE"""),40.52)</f>
        <v>40.52</v>
      </c>
      <c r="E3271" s="1">
        <f>IFERROR(__xludf.DUMMYFUNCTION("""COMPUTED_VALUE"""),40.79)</f>
        <v>40.79</v>
      </c>
      <c r="F3271" s="1">
        <f>IFERROR(__xludf.DUMMYFUNCTION("""COMPUTED_VALUE"""),223607.0)</f>
        <v>223607</v>
      </c>
    </row>
    <row r="3272">
      <c r="A3272" s="2">
        <f>IFERROR(__xludf.DUMMYFUNCTION("""COMPUTED_VALUE"""),44929.66666666667)</f>
        <v>44929.66667</v>
      </c>
      <c r="B3272" s="1">
        <f>IFERROR(__xludf.DUMMYFUNCTION("""COMPUTED_VALUE"""),41.06)</f>
        <v>41.06</v>
      </c>
      <c r="C3272" s="1">
        <f>IFERROR(__xludf.DUMMYFUNCTION("""COMPUTED_VALUE"""),41.21)</f>
        <v>41.21</v>
      </c>
      <c r="D3272" s="1">
        <f>IFERROR(__xludf.DUMMYFUNCTION("""COMPUTED_VALUE"""),39.75)</f>
        <v>39.75</v>
      </c>
      <c r="E3272" s="1">
        <f>IFERROR(__xludf.DUMMYFUNCTION("""COMPUTED_VALUE"""),40.08)</f>
        <v>40.08</v>
      </c>
      <c r="F3272" s="1">
        <f>IFERROR(__xludf.DUMMYFUNCTION("""COMPUTED_VALUE"""),279970.0)</f>
        <v>279970</v>
      </c>
    </row>
    <row r="3273">
      <c r="A3273" s="2">
        <f>IFERROR(__xludf.DUMMYFUNCTION("""COMPUTED_VALUE"""),44930.66666666667)</f>
        <v>44930.66667</v>
      </c>
      <c r="B3273" s="1">
        <f>IFERROR(__xludf.DUMMYFUNCTION("""COMPUTED_VALUE"""),40.28)</f>
        <v>40.28</v>
      </c>
      <c r="C3273" s="1">
        <f>IFERROR(__xludf.DUMMYFUNCTION("""COMPUTED_VALUE"""),40.88)</f>
        <v>40.88</v>
      </c>
      <c r="D3273" s="1">
        <f>IFERROR(__xludf.DUMMYFUNCTION("""COMPUTED_VALUE"""),40.15)</f>
        <v>40.15</v>
      </c>
      <c r="E3273" s="1">
        <f>IFERROR(__xludf.DUMMYFUNCTION("""COMPUTED_VALUE"""),40.35)</f>
        <v>40.35</v>
      </c>
      <c r="F3273" s="1">
        <f>IFERROR(__xludf.DUMMYFUNCTION("""COMPUTED_VALUE"""),289512.0)</f>
        <v>289512</v>
      </c>
    </row>
    <row r="3274">
      <c r="A3274" s="2">
        <f>IFERROR(__xludf.DUMMYFUNCTION("""COMPUTED_VALUE"""),44931.66666666667)</f>
        <v>44931.66667</v>
      </c>
      <c r="B3274" s="1">
        <f>IFERROR(__xludf.DUMMYFUNCTION("""COMPUTED_VALUE"""),40.07)</f>
        <v>40.07</v>
      </c>
      <c r="C3274" s="1">
        <f>IFERROR(__xludf.DUMMYFUNCTION("""COMPUTED_VALUE"""),40.78)</f>
        <v>40.78</v>
      </c>
      <c r="D3274" s="1">
        <f>IFERROR(__xludf.DUMMYFUNCTION("""COMPUTED_VALUE"""),39.71)</f>
        <v>39.71</v>
      </c>
      <c r="E3274" s="1">
        <f>IFERROR(__xludf.DUMMYFUNCTION("""COMPUTED_VALUE"""),40.4)</f>
        <v>40.4</v>
      </c>
      <c r="F3274" s="1">
        <f>IFERROR(__xludf.DUMMYFUNCTION("""COMPUTED_VALUE"""),413426.0)</f>
        <v>413426</v>
      </c>
    </row>
    <row r="3275">
      <c r="A3275" s="2">
        <f>IFERROR(__xludf.DUMMYFUNCTION("""COMPUTED_VALUE"""),44932.66666666667)</f>
        <v>44932.66667</v>
      </c>
      <c r="B3275" s="1">
        <f>IFERROR(__xludf.DUMMYFUNCTION("""COMPUTED_VALUE"""),40.78)</f>
        <v>40.78</v>
      </c>
      <c r="C3275" s="1">
        <f>IFERROR(__xludf.DUMMYFUNCTION("""COMPUTED_VALUE"""),41.77)</f>
        <v>41.77</v>
      </c>
      <c r="D3275" s="1">
        <f>IFERROR(__xludf.DUMMYFUNCTION("""COMPUTED_VALUE"""),40.77)</f>
        <v>40.77</v>
      </c>
      <c r="E3275" s="1">
        <f>IFERROR(__xludf.DUMMYFUNCTION("""COMPUTED_VALUE"""),41.71)</f>
        <v>41.71</v>
      </c>
      <c r="F3275" s="1">
        <f>IFERROR(__xludf.DUMMYFUNCTION("""COMPUTED_VALUE"""),252931.0)</f>
        <v>252931</v>
      </c>
    </row>
    <row r="3276">
      <c r="A3276" s="2">
        <f>IFERROR(__xludf.DUMMYFUNCTION("""COMPUTED_VALUE"""),44935.66666666667)</f>
        <v>44935.66667</v>
      </c>
      <c r="B3276" s="1">
        <f>IFERROR(__xludf.DUMMYFUNCTION("""COMPUTED_VALUE"""),41.89)</f>
        <v>41.89</v>
      </c>
      <c r="C3276" s="1">
        <f>IFERROR(__xludf.DUMMYFUNCTION("""COMPUTED_VALUE"""),41.99)</f>
        <v>41.99</v>
      </c>
      <c r="D3276" s="1">
        <f>IFERROR(__xludf.DUMMYFUNCTION("""COMPUTED_VALUE"""),41.39)</f>
        <v>41.39</v>
      </c>
      <c r="E3276" s="1">
        <f>IFERROR(__xludf.DUMMYFUNCTION("""COMPUTED_VALUE"""),41.53)</f>
        <v>41.53</v>
      </c>
      <c r="F3276" s="1">
        <f>IFERROR(__xludf.DUMMYFUNCTION("""COMPUTED_VALUE"""),273192.0)</f>
        <v>273192</v>
      </c>
    </row>
    <row r="3277">
      <c r="A3277" s="2">
        <f>IFERROR(__xludf.DUMMYFUNCTION("""COMPUTED_VALUE"""),44936.66666666667)</f>
        <v>44936.66667</v>
      </c>
      <c r="B3277" s="1">
        <f>IFERROR(__xludf.DUMMYFUNCTION("""COMPUTED_VALUE"""),41.48)</f>
        <v>41.48</v>
      </c>
      <c r="C3277" s="1">
        <f>IFERROR(__xludf.DUMMYFUNCTION("""COMPUTED_VALUE"""),42.42)</f>
        <v>42.42</v>
      </c>
      <c r="D3277" s="1">
        <f>IFERROR(__xludf.DUMMYFUNCTION("""COMPUTED_VALUE"""),41.0)</f>
        <v>41</v>
      </c>
      <c r="E3277" s="1">
        <f>IFERROR(__xludf.DUMMYFUNCTION("""COMPUTED_VALUE"""),42.18)</f>
        <v>42.18</v>
      </c>
      <c r="F3277" s="1">
        <f>IFERROR(__xludf.DUMMYFUNCTION("""COMPUTED_VALUE"""),238071.0)</f>
        <v>238071</v>
      </c>
    </row>
    <row r="3278">
      <c r="A3278" s="2">
        <f>IFERROR(__xludf.DUMMYFUNCTION("""COMPUTED_VALUE"""),44937.66666666667)</f>
        <v>44937.66667</v>
      </c>
      <c r="B3278" s="1">
        <f>IFERROR(__xludf.DUMMYFUNCTION("""COMPUTED_VALUE"""),42.27)</f>
        <v>42.27</v>
      </c>
      <c r="C3278" s="1">
        <f>IFERROR(__xludf.DUMMYFUNCTION("""COMPUTED_VALUE"""),42.47)</f>
        <v>42.47</v>
      </c>
      <c r="D3278" s="1">
        <f>IFERROR(__xludf.DUMMYFUNCTION("""COMPUTED_VALUE"""),41.92)</f>
        <v>41.92</v>
      </c>
      <c r="E3278" s="1">
        <f>IFERROR(__xludf.DUMMYFUNCTION("""COMPUTED_VALUE"""),42.3)</f>
        <v>42.3</v>
      </c>
      <c r="F3278" s="1">
        <f>IFERROR(__xludf.DUMMYFUNCTION("""COMPUTED_VALUE"""),167404.0)</f>
        <v>167404</v>
      </c>
    </row>
    <row r="3279">
      <c r="A3279" s="2">
        <f>IFERROR(__xludf.DUMMYFUNCTION("""COMPUTED_VALUE"""),44938.66666666667)</f>
        <v>44938.66667</v>
      </c>
      <c r="B3279" s="1">
        <f>IFERROR(__xludf.DUMMYFUNCTION("""COMPUTED_VALUE"""),42.56)</f>
        <v>42.56</v>
      </c>
      <c r="C3279" s="1">
        <f>IFERROR(__xludf.DUMMYFUNCTION("""COMPUTED_VALUE"""),43.41)</f>
        <v>43.41</v>
      </c>
      <c r="D3279" s="1">
        <f>IFERROR(__xludf.DUMMYFUNCTION("""COMPUTED_VALUE"""),42.22)</f>
        <v>42.22</v>
      </c>
      <c r="E3279" s="1">
        <f>IFERROR(__xludf.DUMMYFUNCTION("""COMPUTED_VALUE"""),43.02)</f>
        <v>43.02</v>
      </c>
      <c r="F3279" s="1">
        <f>IFERROR(__xludf.DUMMYFUNCTION("""COMPUTED_VALUE"""),320574.0)</f>
        <v>320574</v>
      </c>
    </row>
    <row r="3280">
      <c r="A3280" s="2">
        <f>IFERROR(__xludf.DUMMYFUNCTION("""COMPUTED_VALUE"""),44939.66666666667)</f>
        <v>44939.66667</v>
      </c>
      <c r="B3280" s="1">
        <f>IFERROR(__xludf.DUMMYFUNCTION("""COMPUTED_VALUE"""),42.53)</f>
        <v>42.53</v>
      </c>
      <c r="C3280" s="1">
        <f>IFERROR(__xludf.DUMMYFUNCTION("""COMPUTED_VALUE"""),43.39)</f>
        <v>43.39</v>
      </c>
      <c r="D3280" s="1">
        <f>IFERROR(__xludf.DUMMYFUNCTION("""COMPUTED_VALUE"""),41.94)</f>
        <v>41.94</v>
      </c>
      <c r="E3280" s="1">
        <f>IFERROR(__xludf.DUMMYFUNCTION("""COMPUTED_VALUE"""),43.24)</f>
        <v>43.24</v>
      </c>
      <c r="F3280" s="1">
        <f>IFERROR(__xludf.DUMMYFUNCTION("""COMPUTED_VALUE"""),184717.0)</f>
        <v>184717</v>
      </c>
    </row>
    <row r="3281">
      <c r="A3281" s="2">
        <f>IFERROR(__xludf.DUMMYFUNCTION("""COMPUTED_VALUE"""),44943.66666666667)</f>
        <v>44943.66667</v>
      </c>
      <c r="B3281" s="1">
        <f>IFERROR(__xludf.DUMMYFUNCTION("""COMPUTED_VALUE"""),43.25)</f>
        <v>43.25</v>
      </c>
      <c r="C3281" s="1">
        <f>IFERROR(__xludf.DUMMYFUNCTION("""COMPUTED_VALUE"""),43.25)</f>
        <v>43.25</v>
      </c>
      <c r="D3281" s="1">
        <f>IFERROR(__xludf.DUMMYFUNCTION("""COMPUTED_VALUE"""),42.46)</f>
        <v>42.46</v>
      </c>
      <c r="E3281" s="1">
        <f>IFERROR(__xludf.DUMMYFUNCTION("""COMPUTED_VALUE"""),42.73)</f>
        <v>42.73</v>
      </c>
      <c r="F3281" s="1">
        <f>IFERROR(__xludf.DUMMYFUNCTION("""COMPUTED_VALUE"""),153764.0)</f>
        <v>153764</v>
      </c>
    </row>
    <row r="3282">
      <c r="A3282" s="2">
        <f>IFERROR(__xludf.DUMMYFUNCTION("""COMPUTED_VALUE"""),44944.66666666667)</f>
        <v>44944.66667</v>
      </c>
      <c r="B3282" s="1">
        <f>IFERROR(__xludf.DUMMYFUNCTION("""COMPUTED_VALUE"""),42.23)</f>
        <v>42.23</v>
      </c>
      <c r="C3282" s="1">
        <f>IFERROR(__xludf.DUMMYFUNCTION("""COMPUTED_VALUE"""),42.63)</f>
        <v>42.63</v>
      </c>
      <c r="D3282" s="1">
        <f>IFERROR(__xludf.DUMMYFUNCTION("""COMPUTED_VALUE"""),41.51)</f>
        <v>41.51</v>
      </c>
      <c r="E3282" s="1">
        <f>IFERROR(__xludf.DUMMYFUNCTION("""COMPUTED_VALUE"""),41.58)</f>
        <v>41.58</v>
      </c>
      <c r="F3282" s="1">
        <f>IFERROR(__xludf.DUMMYFUNCTION("""COMPUTED_VALUE"""),279107.0)</f>
        <v>279107</v>
      </c>
    </row>
    <row r="3283">
      <c r="A3283" s="2">
        <f>IFERROR(__xludf.DUMMYFUNCTION("""COMPUTED_VALUE"""),44945.66666666667)</f>
        <v>44945.66667</v>
      </c>
      <c r="B3283" s="1">
        <f>IFERROR(__xludf.DUMMYFUNCTION("""COMPUTED_VALUE"""),41.35)</f>
        <v>41.35</v>
      </c>
      <c r="C3283" s="1">
        <f>IFERROR(__xludf.DUMMYFUNCTION("""COMPUTED_VALUE"""),41.77)</f>
        <v>41.77</v>
      </c>
      <c r="D3283" s="1">
        <f>IFERROR(__xludf.DUMMYFUNCTION("""COMPUTED_VALUE"""),41.01)</f>
        <v>41.01</v>
      </c>
      <c r="E3283" s="1">
        <f>IFERROR(__xludf.DUMMYFUNCTION("""COMPUTED_VALUE"""),41.76)</f>
        <v>41.76</v>
      </c>
      <c r="F3283" s="1">
        <f>IFERROR(__xludf.DUMMYFUNCTION("""COMPUTED_VALUE"""),238069.0)</f>
        <v>238069</v>
      </c>
    </row>
    <row r="3284">
      <c r="A3284" s="2">
        <f>IFERROR(__xludf.DUMMYFUNCTION("""COMPUTED_VALUE"""),44946.66666666667)</f>
        <v>44946.66667</v>
      </c>
      <c r="B3284" s="1">
        <f>IFERROR(__xludf.DUMMYFUNCTION("""COMPUTED_VALUE"""),42.12)</f>
        <v>42.12</v>
      </c>
      <c r="C3284" s="1">
        <f>IFERROR(__xludf.DUMMYFUNCTION("""COMPUTED_VALUE"""),42.52)</f>
        <v>42.52</v>
      </c>
      <c r="D3284" s="1">
        <f>IFERROR(__xludf.DUMMYFUNCTION("""COMPUTED_VALUE"""),41.84)</f>
        <v>41.84</v>
      </c>
      <c r="E3284" s="1">
        <f>IFERROR(__xludf.DUMMYFUNCTION("""COMPUTED_VALUE"""),42.3)</f>
        <v>42.3</v>
      </c>
      <c r="F3284" s="1">
        <f>IFERROR(__xludf.DUMMYFUNCTION("""COMPUTED_VALUE"""),286971.0)</f>
        <v>286971</v>
      </c>
    </row>
    <row r="3285">
      <c r="A3285" s="2">
        <f>IFERROR(__xludf.DUMMYFUNCTION("""COMPUTED_VALUE"""),44949.66666666667)</f>
        <v>44949.66667</v>
      </c>
      <c r="B3285" s="1">
        <f>IFERROR(__xludf.DUMMYFUNCTION("""COMPUTED_VALUE"""),42.48)</f>
        <v>42.48</v>
      </c>
      <c r="C3285" s="1">
        <f>IFERROR(__xludf.DUMMYFUNCTION("""COMPUTED_VALUE"""),42.88)</f>
        <v>42.88</v>
      </c>
      <c r="D3285" s="1">
        <f>IFERROR(__xludf.DUMMYFUNCTION("""COMPUTED_VALUE"""),42.13)</f>
        <v>42.13</v>
      </c>
      <c r="E3285" s="1">
        <f>IFERROR(__xludf.DUMMYFUNCTION("""COMPUTED_VALUE"""),42.65)</f>
        <v>42.65</v>
      </c>
      <c r="F3285" s="1">
        <f>IFERROR(__xludf.DUMMYFUNCTION("""COMPUTED_VALUE"""),213935.0)</f>
        <v>213935</v>
      </c>
    </row>
    <row r="3286">
      <c r="A3286" s="2">
        <f>IFERROR(__xludf.DUMMYFUNCTION("""COMPUTED_VALUE"""),44950.66666666667)</f>
        <v>44950.66667</v>
      </c>
      <c r="B3286" s="1">
        <f>IFERROR(__xludf.DUMMYFUNCTION("""COMPUTED_VALUE"""),42.65)</f>
        <v>42.65</v>
      </c>
      <c r="C3286" s="1">
        <f>IFERROR(__xludf.DUMMYFUNCTION("""COMPUTED_VALUE"""),42.88)</f>
        <v>42.88</v>
      </c>
      <c r="D3286" s="1">
        <f>IFERROR(__xludf.DUMMYFUNCTION("""COMPUTED_VALUE"""),42.07)</f>
        <v>42.07</v>
      </c>
      <c r="E3286" s="1">
        <f>IFERROR(__xludf.DUMMYFUNCTION("""COMPUTED_VALUE"""),42.64)</f>
        <v>42.64</v>
      </c>
      <c r="F3286" s="1">
        <f>IFERROR(__xludf.DUMMYFUNCTION("""COMPUTED_VALUE"""),233704.0)</f>
        <v>233704</v>
      </c>
    </row>
    <row r="3287">
      <c r="A3287" s="2">
        <f>IFERROR(__xludf.DUMMYFUNCTION("""COMPUTED_VALUE"""),44951.66666666667)</f>
        <v>44951.66667</v>
      </c>
      <c r="B3287" s="1">
        <f>IFERROR(__xludf.DUMMYFUNCTION("""COMPUTED_VALUE"""),42.31)</f>
        <v>42.31</v>
      </c>
      <c r="C3287" s="1">
        <f>IFERROR(__xludf.DUMMYFUNCTION("""COMPUTED_VALUE"""),43.0)</f>
        <v>43</v>
      </c>
      <c r="D3287" s="1">
        <f>IFERROR(__xludf.DUMMYFUNCTION("""COMPUTED_VALUE"""),41.89)</f>
        <v>41.89</v>
      </c>
      <c r="E3287" s="1">
        <f>IFERROR(__xludf.DUMMYFUNCTION("""COMPUTED_VALUE"""),42.89)</f>
        <v>42.89</v>
      </c>
      <c r="F3287" s="1">
        <f>IFERROR(__xludf.DUMMYFUNCTION("""COMPUTED_VALUE"""),312415.0)</f>
        <v>312415</v>
      </c>
    </row>
    <row r="3288">
      <c r="A3288" s="2">
        <f>IFERROR(__xludf.DUMMYFUNCTION("""COMPUTED_VALUE"""),44952.66666666667)</f>
        <v>44952.66667</v>
      </c>
      <c r="B3288" s="1">
        <f>IFERROR(__xludf.DUMMYFUNCTION("""COMPUTED_VALUE"""),42.27)</f>
        <v>42.27</v>
      </c>
      <c r="C3288" s="1">
        <f>IFERROR(__xludf.DUMMYFUNCTION("""COMPUTED_VALUE"""),42.99)</f>
        <v>42.99</v>
      </c>
      <c r="D3288" s="1">
        <f>IFERROR(__xludf.DUMMYFUNCTION("""COMPUTED_VALUE"""),40.88)</f>
        <v>40.88</v>
      </c>
      <c r="E3288" s="1">
        <f>IFERROR(__xludf.DUMMYFUNCTION("""COMPUTED_VALUE"""),41.99)</f>
        <v>41.99</v>
      </c>
      <c r="F3288" s="1">
        <f>IFERROR(__xludf.DUMMYFUNCTION("""COMPUTED_VALUE"""),359612.0)</f>
        <v>359612</v>
      </c>
    </row>
    <row r="3289">
      <c r="A3289" s="2">
        <f>IFERROR(__xludf.DUMMYFUNCTION("""COMPUTED_VALUE"""),44953.66666666667)</f>
        <v>44953.66667</v>
      </c>
      <c r="B3289" s="1">
        <f>IFERROR(__xludf.DUMMYFUNCTION("""COMPUTED_VALUE"""),42.06)</f>
        <v>42.06</v>
      </c>
      <c r="C3289" s="1">
        <f>IFERROR(__xludf.DUMMYFUNCTION("""COMPUTED_VALUE"""),42.36)</f>
        <v>42.36</v>
      </c>
      <c r="D3289" s="1">
        <f>IFERROR(__xludf.DUMMYFUNCTION("""COMPUTED_VALUE"""),41.74)</f>
        <v>41.74</v>
      </c>
      <c r="E3289" s="1">
        <f>IFERROR(__xludf.DUMMYFUNCTION("""COMPUTED_VALUE"""),42.23)</f>
        <v>42.23</v>
      </c>
      <c r="F3289" s="1">
        <f>IFERROR(__xludf.DUMMYFUNCTION("""COMPUTED_VALUE"""),183759.0)</f>
        <v>183759</v>
      </c>
    </row>
    <row r="3290">
      <c r="A3290" s="2">
        <f>IFERROR(__xludf.DUMMYFUNCTION("""COMPUTED_VALUE"""),44956.66666666667)</f>
        <v>44956.66667</v>
      </c>
      <c r="B3290" s="1">
        <f>IFERROR(__xludf.DUMMYFUNCTION("""COMPUTED_VALUE"""),42.14)</f>
        <v>42.14</v>
      </c>
      <c r="C3290" s="1">
        <f>IFERROR(__xludf.DUMMYFUNCTION("""COMPUTED_VALUE"""),42.57)</f>
        <v>42.57</v>
      </c>
      <c r="D3290" s="1">
        <f>IFERROR(__xludf.DUMMYFUNCTION("""COMPUTED_VALUE"""),41.95)</f>
        <v>41.95</v>
      </c>
      <c r="E3290" s="1">
        <f>IFERROR(__xludf.DUMMYFUNCTION("""COMPUTED_VALUE"""),42.39)</f>
        <v>42.39</v>
      </c>
      <c r="F3290" s="1">
        <f>IFERROR(__xludf.DUMMYFUNCTION("""COMPUTED_VALUE"""),325146.0)</f>
        <v>325146</v>
      </c>
    </row>
    <row r="3291">
      <c r="A3291" s="2">
        <f>IFERROR(__xludf.DUMMYFUNCTION("""COMPUTED_VALUE"""),44957.66666666667)</f>
        <v>44957.66667</v>
      </c>
      <c r="B3291" s="1">
        <f>IFERROR(__xludf.DUMMYFUNCTION("""COMPUTED_VALUE"""),42.41)</f>
        <v>42.41</v>
      </c>
      <c r="C3291" s="1">
        <f>IFERROR(__xludf.DUMMYFUNCTION("""COMPUTED_VALUE"""),43.98)</f>
        <v>43.98</v>
      </c>
      <c r="D3291" s="1">
        <f>IFERROR(__xludf.DUMMYFUNCTION("""COMPUTED_VALUE"""),42.13)</f>
        <v>42.13</v>
      </c>
      <c r="E3291" s="1">
        <f>IFERROR(__xludf.DUMMYFUNCTION("""COMPUTED_VALUE"""),43.96)</f>
        <v>43.96</v>
      </c>
      <c r="F3291" s="1">
        <f>IFERROR(__xludf.DUMMYFUNCTION("""COMPUTED_VALUE"""),380889.0)</f>
        <v>380889</v>
      </c>
    </row>
    <row r="3292">
      <c r="A3292" s="2">
        <f>IFERROR(__xludf.DUMMYFUNCTION("""COMPUTED_VALUE"""),44958.66666666667)</f>
        <v>44958.66667</v>
      </c>
      <c r="B3292" s="1">
        <f>IFERROR(__xludf.DUMMYFUNCTION("""COMPUTED_VALUE"""),43.7)</f>
        <v>43.7</v>
      </c>
      <c r="C3292" s="1">
        <f>IFERROR(__xludf.DUMMYFUNCTION("""COMPUTED_VALUE"""),44.83)</f>
        <v>44.83</v>
      </c>
      <c r="D3292" s="1">
        <f>IFERROR(__xludf.DUMMYFUNCTION("""COMPUTED_VALUE"""),43.16)</f>
        <v>43.16</v>
      </c>
      <c r="E3292" s="1">
        <f>IFERROR(__xludf.DUMMYFUNCTION("""COMPUTED_VALUE"""),44.24)</f>
        <v>44.24</v>
      </c>
      <c r="F3292" s="1">
        <f>IFERROR(__xludf.DUMMYFUNCTION("""COMPUTED_VALUE"""),359318.0)</f>
        <v>359318</v>
      </c>
    </row>
    <row r="3293">
      <c r="A3293" s="2">
        <f>IFERROR(__xludf.DUMMYFUNCTION("""COMPUTED_VALUE"""),44959.66666666667)</f>
        <v>44959.66667</v>
      </c>
      <c r="B3293" s="1">
        <f>IFERROR(__xludf.DUMMYFUNCTION("""COMPUTED_VALUE"""),44.31)</f>
        <v>44.31</v>
      </c>
      <c r="C3293" s="1">
        <f>IFERROR(__xludf.DUMMYFUNCTION("""COMPUTED_VALUE"""),45.11)</f>
        <v>45.11</v>
      </c>
      <c r="D3293" s="1">
        <f>IFERROR(__xludf.DUMMYFUNCTION("""COMPUTED_VALUE"""),43.52)</f>
        <v>43.52</v>
      </c>
      <c r="E3293" s="1">
        <f>IFERROR(__xludf.DUMMYFUNCTION("""COMPUTED_VALUE"""),45.11)</f>
        <v>45.11</v>
      </c>
      <c r="F3293" s="1">
        <f>IFERROR(__xludf.DUMMYFUNCTION("""COMPUTED_VALUE"""),399579.0)</f>
        <v>399579</v>
      </c>
    </row>
    <row r="3294">
      <c r="A3294" s="2">
        <f>IFERROR(__xludf.DUMMYFUNCTION("""COMPUTED_VALUE"""),44960.66666666667)</f>
        <v>44960.66667</v>
      </c>
      <c r="B3294" s="1">
        <f>IFERROR(__xludf.DUMMYFUNCTION("""COMPUTED_VALUE"""),44.94)</f>
        <v>44.94</v>
      </c>
      <c r="C3294" s="1">
        <f>IFERROR(__xludf.DUMMYFUNCTION("""COMPUTED_VALUE"""),45.69)</f>
        <v>45.69</v>
      </c>
      <c r="D3294" s="1">
        <f>IFERROR(__xludf.DUMMYFUNCTION("""COMPUTED_VALUE"""),43.69)</f>
        <v>43.69</v>
      </c>
      <c r="E3294" s="1">
        <f>IFERROR(__xludf.DUMMYFUNCTION("""COMPUTED_VALUE"""),45.31)</f>
        <v>45.31</v>
      </c>
      <c r="F3294" s="1">
        <f>IFERROR(__xludf.DUMMYFUNCTION("""COMPUTED_VALUE"""),323399.0)</f>
        <v>323399</v>
      </c>
    </row>
    <row r="3295">
      <c r="A3295" s="2">
        <f>IFERROR(__xludf.DUMMYFUNCTION("""COMPUTED_VALUE"""),44963.66666666667)</f>
        <v>44963.66667</v>
      </c>
      <c r="B3295" s="1">
        <f>IFERROR(__xludf.DUMMYFUNCTION("""COMPUTED_VALUE"""),45.02)</f>
        <v>45.02</v>
      </c>
      <c r="C3295" s="1">
        <f>IFERROR(__xludf.DUMMYFUNCTION("""COMPUTED_VALUE"""),45.52)</f>
        <v>45.52</v>
      </c>
      <c r="D3295" s="1">
        <f>IFERROR(__xludf.DUMMYFUNCTION("""COMPUTED_VALUE"""),44.65)</f>
        <v>44.65</v>
      </c>
      <c r="E3295" s="1">
        <f>IFERROR(__xludf.DUMMYFUNCTION("""COMPUTED_VALUE"""),44.81)</f>
        <v>44.81</v>
      </c>
      <c r="F3295" s="1">
        <f>IFERROR(__xludf.DUMMYFUNCTION("""COMPUTED_VALUE"""),196502.0)</f>
        <v>196502</v>
      </c>
    </row>
    <row r="3296">
      <c r="A3296" s="2">
        <f>IFERROR(__xludf.DUMMYFUNCTION("""COMPUTED_VALUE"""),44964.66666666667)</f>
        <v>44964.66667</v>
      </c>
      <c r="B3296" s="1">
        <f>IFERROR(__xludf.DUMMYFUNCTION("""COMPUTED_VALUE"""),44.75)</f>
        <v>44.75</v>
      </c>
      <c r="C3296" s="1">
        <f>IFERROR(__xludf.DUMMYFUNCTION("""COMPUTED_VALUE"""),45.53)</f>
        <v>45.53</v>
      </c>
      <c r="D3296" s="1">
        <f>IFERROR(__xludf.DUMMYFUNCTION("""COMPUTED_VALUE"""),44.27)</f>
        <v>44.27</v>
      </c>
      <c r="E3296" s="1">
        <f>IFERROR(__xludf.DUMMYFUNCTION("""COMPUTED_VALUE"""),45.26)</f>
        <v>45.26</v>
      </c>
      <c r="F3296" s="1">
        <f>IFERROR(__xludf.DUMMYFUNCTION("""COMPUTED_VALUE"""),269163.0)</f>
        <v>269163</v>
      </c>
    </row>
    <row r="3297">
      <c r="A3297" s="2">
        <f>IFERROR(__xludf.DUMMYFUNCTION("""COMPUTED_VALUE"""),44965.66666666667)</f>
        <v>44965.66667</v>
      </c>
      <c r="B3297" s="1">
        <f>IFERROR(__xludf.DUMMYFUNCTION("""COMPUTED_VALUE"""),44.82)</f>
        <v>44.82</v>
      </c>
      <c r="C3297" s="1">
        <f>IFERROR(__xludf.DUMMYFUNCTION("""COMPUTED_VALUE"""),45.15)</f>
        <v>45.15</v>
      </c>
      <c r="D3297" s="1">
        <f>IFERROR(__xludf.DUMMYFUNCTION("""COMPUTED_VALUE"""),44.56)</f>
        <v>44.56</v>
      </c>
      <c r="E3297" s="1">
        <f>IFERROR(__xludf.DUMMYFUNCTION("""COMPUTED_VALUE"""),44.67)</f>
        <v>44.67</v>
      </c>
      <c r="F3297" s="1">
        <f>IFERROR(__xludf.DUMMYFUNCTION("""COMPUTED_VALUE"""),167146.0)</f>
        <v>167146</v>
      </c>
    </row>
    <row r="3298">
      <c r="A3298" s="2">
        <f>IFERROR(__xludf.DUMMYFUNCTION("""COMPUTED_VALUE"""),44966.66666666667)</f>
        <v>44966.66667</v>
      </c>
      <c r="B3298" s="1">
        <f>IFERROR(__xludf.DUMMYFUNCTION("""COMPUTED_VALUE"""),44.87)</f>
        <v>44.87</v>
      </c>
      <c r="C3298" s="1">
        <f>IFERROR(__xludf.DUMMYFUNCTION("""COMPUTED_VALUE"""),45.17)</f>
        <v>45.17</v>
      </c>
      <c r="D3298" s="1">
        <f>IFERROR(__xludf.DUMMYFUNCTION("""COMPUTED_VALUE"""),43.74)</f>
        <v>43.74</v>
      </c>
      <c r="E3298" s="1">
        <f>IFERROR(__xludf.DUMMYFUNCTION("""COMPUTED_VALUE"""),43.75)</f>
        <v>43.75</v>
      </c>
      <c r="F3298" s="1">
        <f>IFERROR(__xludf.DUMMYFUNCTION("""COMPUTED_VALUE"""),325956.0)</f>
        <v>325956</v>
      </c>
    </row>
    <row r="3299">
      <c r="A3299" s="2">
        <f>IFERROR(__xludf.DUMMYFUNCTION("""COMPUTED_VALUE"""),44967.66666666667)</f>
        <v>44967.66667</v>
      </c>
      <c r="B3299" s="1">
        <f>IFERROR(__xludf.DUMMYFUNCTION("""COMPUTED_VALUE"""),43.7)</f>
        <v>43.7</v>
      </c>
      <c r="C3299" s="1">
        <f>IFERROR(__xludf.DUMMYFUNCTION("""COMPUTED_VALUE"""),43.95)</f>
        <v>43.95</v>
      </c>
      <c r="D3299" s="1">
        <f>IFERROR(__xludf.DUMMYFUNCTION("""COMPUTED_VALUE"""),43.55)</f>
        <v>43.55</v>
      </c>
      <c r="E3299" s="1">
        <f>IFERROR(__xludf.DUMMYFUNCTION("""COMPUTED_VALUE"""),43.82)</f>
        <v>43.82</v>
      </c>
      <c r="F3299" s="1">
        <f>IFERROR(__xludf.DUMMYFUNCTION("""COMPUTED_VALUE"""),276268.0)</f>
        <v>276268</v>
      </c>
    </row>
    <row r="3300">
      <c r="A3300" s="2">
        <f>IFERROR(__xludf.DUMMYFUNCTION("""COMPUTED_VALUE"""),44970.66666666667)</f>
        <v>44970.66667</v>
      </c>
      <c r="B3300" s="1">
        <f>IFERROR(__xludf.DUMMYFUNCTION("""COMPUTED_VALUE"""),43.81)</f>
        <v>43.81</v>
      </c>
      <c r="C3300" s="1">
        <f>IFERROR(__xludf.DUMMYFUNCTION("""COMPUTED_VALUE"""),44.3)</f>
        <v>44.3</v>
      </c>
      <c r="D3300" s="1">
        <f>IFERROR(__xludf.DUMMYFUNCTION("""COMPUTED_VALUE"""),43.5)</f>
        <v>43.5</v>
      </c>
      <c r="E3300" s="1">
        <f>IFERROR(__xludf.DUMMYFUNCTION("""COMPUTED_VALUE"""),44.3)</f>
        <v>44.3</v>
      </c>
      <c r="F3300" s="1">
        <f>IFERROR(__xludf.DUMMYFUNCTION("""COMPUTED_VALUE"""),252033.0)</f>
        <v>252033</v>
      </c>
    </row>
    <row r="3301">
      <c r="A3301" s="2">
        <f>IFERROR(__xludf.DUMMYFUNCTION("""COMPUTED_VALUE"""),44971.66666666667)</f>
        <v>44971.66667</v>
      </c>
      <c r="B3301" s="1">
        <f>IFERROR(__xludf.DUMMYFUNCTION("""COMPUTED_VALUE"""),44.22)</f>
        <v>44.22</v>
      </c>
      <c r="C3301" s="1">
        <f>IFERROR(__xludf.DUMMYFUNCTION("""COMPUTED_VALUE"""),44.65)</f>
        <v>44.65</v>
      </c>
      <c r="D3301" s="1">
        <f>IFERROR(__xludf.DUMMYFUNCTION("""COMPUTED_VALUE"""),43.69)</f>
        <v>43.69</v>
      </c>
      <c r="E3301" s="1">
        <f>IFERROR(__xludf.DUMMYFUNCTION("""COMPUTED_VALUE"""),44.18)</f>
        <v>44.18</v>
      </c>
      <c r="F3301" s="1">
        <f>IFERROR(__xludf.DUMMYFUNCTION("""COMPUTED_VALUE"""),340948.0)</f>
        <v>340948</v>
      </c>
    </row>
    <row r="3302">
      <c r="A3302" s="2">
        <f>IFERROR(__xludf.DUMMYFUNCTION("""COMPUTED_VALUE"""),44972.66666666667)</f>
        <v>44972.66667</v>
      </c>
      <c r="B3302" s="1">
        <f>IFERROR(__xludf.DUMMYFUNCTION("""COMPUTED_VALUE"""),43.74)</f>
        <v>43.74</v>
      </c>
      <c r="C3302" s="1">
        <f>IFERROR(__xludf.DUMMYFUNCTION("""COMPUTED_VALUE"""),44.91)</f>
        <v>44.91</v>
      </c>
      <c r="D3302" s="1">
        <f>IFERROR(__xludf.DUMMYFUNCTION("""COMPUTED_VALUE"""),43.74)</f>
        <v>43.74</v>
      </c>
      <c r="E3302" s="1">
        <f>IFERROR(__xludf.DUMMYFUNCTION("""COMPUTED_VALUE"""),44.61)</f>
        <v>44.61</v>
      </c>
      <c r="F3302" s="1">
        <f>IFERROR(__xludf.DUMMYFUNCTION("""COMPUTED_VALUE"""),303266.0)</f>
        <v>303266</v>
      </c>
    </row>
    <row r="3303">
      <c r="A3303" s="2">
        <f>IFERROR(__xludf.DUMMYFUNCTION("""COMPUTED_VALUE"""),44973.66666666667)</f>
        <v>44973.66667</v>
      </c>
      <c r="B3303" s="1">
        <f>IFERROR(__xludf.DUMMYFUNCTION("""COMPUTED_VALUE"""),44.28)</f>
        <v>44.28</v>
      </c>
      <c r="C3303" s="1">
        <f>IFERROR(__xludf.DUMMYFUNCTION("""COMPUTED_VALUE"""),44.75)</f>
        <v>44.75</v>
      </c>
      <c r="D3303" s="1">
        <f>IFERROR(__xludf.DUMMYFUNCTION("""COMPUTED_VALUE"""),43.89)</f>
        <v>43.89</v>
      </c>
      <c r="E3303" s="1">
        <f>IFERROR(__xludf.DUMMYFUNCTION("""COMPUTED_VALUE"""),44.36)</f>
        <v>44.36</v>
      </c>
      <c r="F3303" s="1">
        <f>IFERROR(__xludf.DUMMYFUNCTION("""COMPUTED_VALUE"""),342899.0)</f>
        <v>342899</v>
      </c>
    </row>
    <row r="3304">
      <c r="A3304" s="2">
        <f>IFERROR(__xludf.DUMMYFUNCTION("""COMPUTED_VALUE"""),44974.66666666667)</f>
        <v>44974.66667</v>
      </c>
      <c r="B3304" s="1">
        <f>IFERROR(__xludf.DUMMYFUNCTION("""COMPUTED_VALUE"""),44.56)</f>
        <v>44.56</v>
      </c>
      <c r="C3304" s="1">
        <f>IFERROR(__xludf.DUMMYFUNCTION("""COMPUTED_VALUE"""),44.96)</f>
        <v>44.96</v>
      </c>
      <c r="D3304" s="1">
        <f>IFERROR(__xludf.DUMMYFUNCTION("""COMPUTED_VALUE"""),44.21)</f>
        <v>44.21</v>
      </c>
      <c r="E3304" s="1">
        <f>IFERROR(__xludf.DUMMYFUNCTION("""COMPUTED_VALUE"""),44.84)</f>
        <v>44.84</v>
      </c>
      <c r="F3304" s="1">
        <f>IFERROR(__xludf.DUMMYFUNCTION("""COMPUTED_VALUE"""),279350.0)</f>
        <v>279350</v>
      </c>
    </row>
    <row r="3305">
      <c r="A3305" s="2">
        <f>IFERROR(__xludf.DUMMYFUNCTION("""COMPUTED_VALUE"""),44978.66666666667)</f>
        <v>44978.66667</v>
      </c>
      <c r="B3305" s="1">
        <f>IFERROR(__xludf.DUMMYFUNCTION("""COMPUTED_VALUE"""),44.52)</f>
        <v>44.52</v>
      </c>
      <c r="C3305" s="1">
        <f>IFERROR(__xludf.DUMMYFUNCTION("""COMPUTED_VALUE"""),44.52)</f>
        <v>44.52</v>
      </c>
      <c r="D3305" s="1">
        <f>IFERROR(__xludf.DUMMYFUNCTION("""COMPUTED_VALUE"""),43.98)</f>
        <v>43.98</v>
      </c>
      <c r="E3305" s="1">
        <f>IFERROR(__xludf.DUMMYFUNCTION("""COMPUTED_VALUE"""),44.13)</f>
        <v>44.13</v>
      </c>
      <c r="F3305" s="1">
        <f>IFERROR(__xludf.DUMMYFUNCTION("""COMPUTED_VALUE"""),324974.0)</f>
        <v>324974</v>
      </c>
    </row>
    <row r="3306">
      <c r="A3306" s="2">
        <f>IFERROR(__xludf.DUMMYFUNCTION("""COMPUTED_VALUE"""),44979.66666666667)</f>
        <v>44979.66667</v>
      </c>
      <c r="B3306" s="1">
        <f>IFERROR(__xludf.DUMMYFUNCTION("""COMPUTED_VALUE"""),44.22)</f>
        <v>44.22</v>
      </c>
      <c r="C3306" s="1">
        <f>IFERROR(__xludf.DUMMYFUNCTION("""COMPUTED_VALUE"""),44.41)</f>
        <v>44.41</v>
      </c>
      <c r="D3306" s="1">
        <f>IFERROR(__xludf.DUMMYFUNCTION("""COMPUTED_VALUE"""),43.4)</f>
        <v>43.4</v>
      </c>
      <c r="E3306" s="1">
        <f>IFERROR(__xludf.DUMMYFUNCTION("""COMPUTED_VALUE"""),43.78)</f>
        <v>43.78</v>
      </c>
      <c r="F3306" s="1">
        <f>IFERROR(__xludf.DUMMYFUNCTION("""COMPUTED_VALUE"""),409118.0)</f>
        <v>409118</v>
      </c>
    </row>
    <row r="3307">
      <c r="A3307" s="2">
        <f>IFERROR(__xludf.DUMMYFUNCTION("""COMPUTED_VALUE"""),44980.66666666667)</f>
        <v>44980.66667</v>
      </c>
      <c r="B3307" s="1">
        <f>IFERROR(__xludf.DUMMYFUNCTION("""COMPUTED_VALUE"""),43.87)</f>
        <v>43.87</v>
      </c>
      <c r="C3307" s="1">
        <f>IFERROR(__xludf.DUMMYFUNCTION("""COMPUTED_VALUE"""),44.29)</f>
        <v>44.29</v>
      </c>
      <c r="D3307" s="1">
        <f>IFERROR(__xludf.DUMMYFUNCTION("""COMPUTED_VALUE"""),43.47)</f>
        <v>43.47</v>
      </c>
      <c r="E3307" s="1">
        <f>IFERROR(__xludf.DUMMYFUNCTION("""COMPUTED_VALUE"""),44.0)</f>
        <v>44</v>
      </c>
      <c r="F3307" s="1">
        <f>IFERROR(__xludf.DUMMYFUNCTION("""COMPUTED_VALUE"""),162496.0)</f>
        <v>162496</v>
      </c>
    </row>
    <row r="3308">
      <c r="A3308" s="2">
        <f>IFERROR(__xludf.DUMMYFUNCTION("""COMPUTED_VALUE"""),44981.66666666667)</f>
        <v>44981.66667</v>
      </c>
      <c r="B3308" s="1">
        <f>IFERROR(__xludf.DUMMYFUNCTION("""COMPUTED_VALUE"""),43.07)</f>
        <v>43.07</v>
      </c>
      <c r="C3308" s="1">
        <f>IFERROR(__xludf.DUMMYFUNCTION("""COMPUTED_VALUE"""),43.83)</f>
        <v>43.83</v>
      </c>
      <c r="D3308" s="1">
        <f>IFERROR(__xludf.DUMMYFUNCTION("""COMPUTED_VALUE"""),43.05)</f>
        <v>43.05</v>
      </c>
      <c r="E3308" s="1">
        <f>IFERROR(__xludf.DUMMYFUNCTION("""COMPUTED_VALUE"""),43.83)</f>
        <v>43.83</v>
      </c>
      <c r="F3308" s="1">
        <f>IFERROR(__xludf.DUMMYFUNCTION("""COMPUTED_VALUE"""),215199.0)</f>
        <v>215199</v>
      </c>
    </row>
    <row r="3309">
      <c r="A3309" s="2">
        <f>IFERROR(__xludf.DUMMYFUNCTION("""COMPUTED_VALUE"""),44984.66666666667)</f>
        <v>44984.66667</v>
      </c>
      <c r="B3309" s="1">
        <f>IFERROR(__xludf.DUMMYFUNCTION("""COMPUTED_VALUE"""),44.08)</f>
        <v>44.08</v>
      </c>
      <c r="C3309" s="1">
        <f>IFERROR(__xludf.DUMMYFUNCTION("""COMPUTED_VALUE"""),44.12)</f>
        <v>44.12</v>
      </c>
      <c r="D3309" s="1">
        <f>IFERROR(__xludf.DUMMYFUNCTION("""COMPUTED_VALUE"""),43.3)</f>
        <v>43.3</v>
      </c>
      <c r="E3309" s="1">
        <f>IFERROR(__xludf.DUMMYFUNCTION("""COMPUTED_VALUE"""),43.71)</f>
        <v>43.71</v>
      </c>
      <c r="F3309" s="1">
        <f>IFERROR(__xludf.DUMMYFUNCTION("""COMPUTED_VALUE"""),343675.0)</f>
        <v>343675</v>
      </c>
    </row>
    <row r="3310">
      <c r="A3310" s="2">
        <f>IFERROR(__xludf.DUMMYFUNCTION("""COMPUTED_VALUE"""),44985.66666666667)</f>
        <v>44985.66667</v>
      </c>
      <c r="B3310" s="1">
        <f>IFERROR(__xludf.DUMMYFUNCTION("""COMPUTED_VALUE"""),43.62)</f>
        <v>43.62</v>
      </c>
      <c r="C3310" s="1">
        <f>IFERROR(__xludf.DUMMYFUNCTION("""COMPUTED_VALUE"""),43.84)</f>
        <v>43.84</v>
      </c>
      <c r="D3310" s="1">
        <f>IFERROR(__xludf.DUMMYFUNCTION("""COMPUTED_VALUE"""),42.92)</f>
        <v>42.92</v>
      </c>
      <c r="E3310" s="1">
        <f>IFERROR(__xludf.DUMMYFUNCTION("""COMPUTED_VALUE"""),42.92)</f>
        <v>42.92</v>
      </c>
      <c r="F3310" s="1">
        <f>IFERROR(__xludf.DUMMYFUNCTION("""COMPUTED_VALUE"""),326848.0)</f>
        <v>326848</v>
      </c>
    </row>
    <row r="3311">
      <c r="A3311" s="2">
        <f>IFERROR(__xludf.DUMMYFUNCTION("""COMPUTED_VALUE"""),44986.66666666667)</f>
        <v>44986.66667</v>
      </c>
      <c r="B3311" s="1">
        <f>IFERROR(__xludf.DUMMYFUNCTION("""COMPUTED_VALUE"""),42.73)</f>
        <v>42.73</v>
      </c>
      <c r="C3311" s="1">
        <f>IFERROR(__xludf.DUMMYFUNCTION("""COMPUTED_VALUE"""),42.93)</f>
        <v>42.93</v>
      </c>
      <c r="D3311" s="1">
        <f>IFERROR(__xludf.DUMMYFUNCTION("""COMPUTED_VALUE"""),42.46)</f>
        <v>42.46</v>
      </c>
      <c r="E3311" s="1">
        <f>IFERROR(__xludf.DUMMYFUNCTION("""COMPUTED_VALUE"""),42.85)</f>
        <v>42.85</v>
      </c>
      <c r="F3311" s="1">
        <f>IFERROR(__xludf.DUMMYFUNCTION("""COMPUTED_VALUE"""),281075.0)</f>
        <v>281075</v>
      </c>
    </row>
    <row r="3312">
      <c r="A3312" s="2">
        <f>IFERROR(__xludf.DUMMYFUNCTION("""COMPUTED_VALUE"""),44987.66666666667)</f>
        <v>44987.66667</v>
      </c>
      <c r="B3312" s="1">
        <f>IFERROR(__xludf.DUMMYFUNCTION("""COMPUTED_VALUE"""),42.53)</f>
        <v>42.53</v>
      </c>
      <c r="C3312" s="1">
        <f>IFERROR(__xludf.DUMMYFUNCTION("""COMPUTED_VALUE"""),42.53)</f>
        <v>42.53</v>
      </c>
      <c r="D3312" s="1">
        <f>IFERROR(__xludf.DUMMYFUNCTION("""COMPUTED_VALUE"""),41.6)</f>
        <v>41.6</v>
      </c>
      <c r="E3312" s="1">
        <f>IFERROR(__xludf.DUMMYFUNCTION("""COMPUTED_VALUE"""),41.98)</f>
        <v>41.98</v>
      </c>
      <c r="F3312" s="1">
        <f>IFERROR(__xludf.DUMMYFUNCTION("""COMPUTED_VALUE"""),226944.0)</f>
        <v>226944</v>
      </c>
    </row>
    <row r="3313">
      <c r="A3313" s="2">
        <f>IFERROR(__xludf.DUMMYFUNCTION("""COMPUTED_VALUE"""),44988.66666666667)</f>
        <v>44988.66667</v>
      </c>
      <c r="B3313" s="1">
        <f>IFERROR(__xludf.DUMMYFUNCTION("""COMPUTED_VALUE"""),42.28)</f>
        <v>42.28</v>
      </c>
      <c r="C3313" s="1">
        <f>IFERROR(__xludf.DUMMYFUNCTION("""COMPUTED_VALUE"""),42.83)</f>
        <v>42.83</v>
      </c>
      <c r="D3313" s="1">
        <f>IFERROR(__xludf.DUMMYFUNCTION("""COMPUTED_VALUE"""),41.84)</f>
        <v>41.84</v>
      </c>
      <c r="E3313" s="1">
        <f>IFERROR(__xludf.DUMMYFUNCTION("""COMPUTED_VALUE"""),42.81)</f>
        <v>42.81</v>
      </c>
      <c r="F3313" s="1">
        <f>IFERROR(__xludf.DUMMYFUNCTION("""COMPUTED_VALUE"""),262817.0)</f>
        <v>262817</v>
      </c>
    </row>
    <row r="3314">
      <c r="A3314" s="2">
        <f>IFERROR(__xludf.DUMMYFUNCTION("""COMPUTED_VALUE"""),44991.66666666667)</f>
        <v>44991.66667</v>
      </c>
      <c r="B3314" s="1">
        <f>IFERROR(__xludf.DUMMYFUNCTION("""COMPUTED_VALUE"""),42.86)</f>
        <v>42.86</v>
      </c>
      <c r="C3314" s="1">
        <f>IFERROR(__xludf.DUMMYFUNCTION("""COMPUTED_VALUE"""),43.18)</f>
        <v>43.18</v>
      </c>
      <c r="D3314" s="1">
        <f>IFERROR(__xludf.DUMMYFUNCTION("""COMPUTED_VALUE"""),42.49)</f>
        <v>42.49</v>
      </c>
      <c r="E3314" s="1">
        <f>IFERROR(__xludf.DUMMYFUNCTION("""COMPUTED_VALUE"""),42.8)</f>
        <v>42.8</v>
      </c>
      <c r="F3314" s="1">
        <f>IFERROR(__xludf.DUMMYFUNCTION("""COMPUTED_VALUE"""),279928.0)</f>
        <v>279928</v>
      </c>
    </row>
    <row r="3315">
      <c r="A3315" s="2">
        <f>IFERROR(__xludf.DUMMYFUNCTION("""COMPUTED_VALUE"""),44992.66666666667)</f>
        <v>44992.66667</v>
      </c>
      <c r="B3315" s="1">
        <f>IFERROR(__xludf.DUMMYFUNCTION("""COMPUTED_VALUE"""),42.72)</f>
        <v>42.72</v>
      </c>
      <c r="C3315" s="1">
        <f>IFERROR(__xludf.DUMMYFUNCTION("""COMPUTED_VALUE"""),42.72)</f>
        <v>42.72</v>
      </c>
      <c r="D3315" s="1">
        <f>IFERROR(__xludf.DUMMYFUNCTION("""COMPUTED_VALUE"""),41.48)</f>
        <v>41.48</v>
      </c>
      <c r="E3315" s="1">
        <f>IFERROR(__xludf.DUMMYFUNCTION("""COMPUTED_VALUE"""),41.56)</f>
        <v>41.56</v>
      </c>
      <c r="F3315" s="1">
        <f>IFERROR(__xludf.DUMMYFUNCTION("""COMPUTED_VALUE"""),336920.0)</f>
        <v>336920</v>
      </c>
    </row>
    <row r="3316">
      <c r="A3316" s="2">
        <f>IFERROR(__xludf.DUMMYFUNCTION("""COMPUTED_VALUE"""),44993.66666666667)</f>
        <v>44993.66667</v>
      </c>
      <c r="B3316" s="1">
        <f>IFERROR(__xludf.DUMMYFUNCTION("""COMPUTED_VALUE"""),41.68)</f>
        <v>41.68</v>
      </c>
      <c r="C3316" s="1">
        <f>IFERROR(__xludf.DUMMYFUNCTION("""COMPUTED_VALUE"""),41.82)</f>
        <v>41.82</v>
      </c>
      <c r="D3316" s="1">
        <f>IFERROR(__xludf.DUMMYFUNCTION("""COMPUTED_VALUE"""),41.0)</f>
        <v>41</v>
      </c>
      <c r="E3316" s="1">
        <f>IFERROR(__xludf.DUMMYFUNCTION("""COMPUTED_VALUE"""),41.37)</f>
        <v>41.37</v>
      </c>
      <c r="F3316" s="1">
        <f>IFERROR(__xludf.DUMMYFUNCTION("""COMPUTED_VALUE"""),247673.0)</f>
        <v>247673</v>
      </c>
    </row>
    <row r="3317">
      <c r="A3317" s="2">
        <f>IFERROR(__xludf.DUMMYFUNCTION("""COMPUTED_VALUE"""),44994.66666666667)</f>
        <v>44994.66667</v>
      </c>
      <c r="B3317" s="1">
        <f>IFERROR(__xludf.DUMMYFUNCTION("""COMPUTED_VALUE"""),41.18)</f>
        <v>41.18</v>
      </c>
      <c r="C3317" s="1">
        <f>IFERROR(__xludf.DUMMYFUNCTION("""COMPUTED_VALUE"""),41.18)</f>
        <v>41.18</v>
      </c>
      <c r="D3317" s="1">
        <f>IFERROR(__xludf.DUMMYFUNCTION("""COMPUTED_VALUE"""),38.61)</f>
        <v>38.61</v>
      </c>
      <c r="E3317" s="1">
        <f>IFERROR(__xludf.DUMMYFUNCTION("""COMPUTED_VALUE"""),38.67)</f>
        <v>38.67</v>
      </c>
      <c r="F3317" s="1">
        <f>IFERROR(__xludf.DUMMYFUNCTION("""COMPUTED_VALUE"""),425856.0)</f>
        <v>425856</v>
      </c>
    </row>
    <row r="3318">
      <c r="A3318" s="2">
        <f>IFERROR(__xludf.DUMMYFUNCTION("""COMPUTED_VALUE"""),44995.66666666667)</f>
        <v>44995.66667</v>
      </c>
      <c r="B3318" s="1">
        <f>IFERROR(__xludf.DUMMYFUNCTION("""COMPUTED_VALUE"""),37.74)</f>
        <v>37.74</v>
      </c>
      <c r="C3318" s="1">
        <f>IFERROR(__xludf.DUMMYFUNCTION("""COMPUTED_VALUE"""),39.45)</f>
        <v>39.45</v>
      </c>
      <c r="D3318" s="1">
        <f>IFERROR(__xludf.DUMMYFUNCTION("""COMPUTED_VALUE"""),37.03)</f>
        <v>37.03</v>
      </c>
      <c r="E3318" s="1">
        <f>IFERROR(__xludf.DUMMYFUNCTION("""COMPUTED_VALUE"""),38.51)</f>
        <v>38.51</v>
      </c>
      <c r="F3318" s="1">
        <f>IFERROR(__xludf.DUMMYFUNCTION("""COMPUTED_VALUE"""),616010.0)</f>
        <v>616010</v>
      </c>
    </row>
    <row r="3319">
      <c r="A3319" s="2">
        <f>IFERROR(__xludf.DUMMYFUNCTION("""COMPUTED_VALUE"""),44998.66666666667)</f>
        <v>44998.66667</v>
      </c>
      <c r="B3319" s="1">
        <f>IFERROR(__xludf.DUMMYFUNCTION("""COMPUTED_VALUE"""),37.02)</f>
        <v>37.02</v>
      </c>
      <c r="C3319" s="1">
        <f>IFERROR(__xludf.DUMMYFUNCTION("""COMPUTED_VALUE"""),39.04)</f>
        <v>39.04</v>
      </c>
      <c r="D3319" s="1">
        <f>IFERROR(__xludf.DUMMYFUNCTION("""COMPUTED_VALUE"""),34.99)</f>
        <v>34.99</v>
      </c>
      <c r="E3319" s="1">
        <f>IFERROR(__xludf.DUMMYFUNCTION("""COMPUTED_VALUE"""),36.76)</f>
        <v>36.76</v>
      </c>
      <c r="F3319" s="1">
        <f>IFERROR(__xludf.DUMMYFUNCTION("""COMPUTED_VALUE"""),1078194.0)</f>
        <v>1078194</v>
      </c>
    </row>
    <row r="3320">
      <c r="A3320" s="2">
        <f>IFERROR(__xludf.DUMMYFUNCTION("""COMPUTED_VALUE"""),44999.66666666667)</f>
        <v>44999.66667</v>
      </c>
      <c r="B3320" s="1">
        <f>IFERROR(__xludf.DUMMYFUNCTION("""COMPUTED_VALUE"""),39.58)</f>
        <v>39.58</v>
      </c>
      <c r="C3320" s="1">
        <f>IFERROR(__xludf.DUMMYFUNCTION("""COMPUTED_VALUE"""),39.97)</f>
        <v>39.97</v>
      </c>
      <c r="D3320" s="1">
        <f>IFERROR(__xludf.DUMMYFUNCTION("""COMPUTED_VALUE"""),36.31)</f>
        <v>36.31</v>
      </c>
      <c r="E3320" s="1">
        <f>IFERROR(__xludf.DUMMYFUNCTION("""COMPUTED_VALUE"""),36.98)</f>
        <v>36.98</v>
      </c>
      <c r="F3320" s="1">
        <f>IFERROR(__xludf.DUMMYFUNCTION("""COMPUTED_VALUE"""),790236.0)</f>
        <v>790236</v>
      </c>
    </row>
    <row r="3321">
      <c r="A3321" s="2">
        <f>IFERROR(__xludf.DUMMYFUNCTION("""COMPUTED_VALUE"""),45000.66666666667)</f>
        <v>45000.66667</v>
      </c>
      <c r="B3321" s="1">
        <f>IFERROR(__xludf.DUMMYFUNCTION("""COMPUTED_VALUE"""),35.29)</f>
        <v>35.29</v>
      </c>
      <c r="C3321" s="1">
        <f>IFERROR(__xludf.DUMMYFUNCTION("""COMPUTED_VALUE"""),36.74)</f>
        <v>36.74</v>
      </c>
      <c r="D3321" s="1">
        <f>IFERROR(__xludf.DUMMYFUNCTION("""COMPUTED_VALUE"""),35.11)</f>
        <v>35.11</v>
      </c>
      <c r="E3321" s="1">
        <f>IFERROR(__xludf.DUMMYFUNCTION("""COMPUTED_VALUE"""),36.7)</f>
        <v>36.7</v>
      </c>
      <c r="F3321" s="1">
        <f>IFERROR(__xludf.DUMMYFUNCTION("""COMPUTED_VALUE"""),675206.0)</f>
        <v>675206</v>
      </c>
    </row>
    <row r="3322">
      <c r="A3322" s="2">
        <f>IFERROR(__xludf.DUMMYFUNCTION("""COMPUTED_VALUE"""),45001.66666666667)</f>
        <v>45001.66667</v>
      </c>
      <c r="B3322" s="1">
        <f>IFERROR(__xludf.DUMMYFUNCTION("""COMPUTED_VALUE"""),36.01)</f>
        <v>36.01</v>
      </c>
      <c r="C3322" s="1">
        <f>IFERROR(__xludf.DUMMYFUNCTION("""COMPUTED_VALUE"""),38.71)</f>
        <v>38.71</v>
      </c>
      <c r="D3322" s="1">
        <f>IFERROR(__xludf.DUMMYFUNCTION("""COMPUTED_VALUE"""),35.57)</f>
        <v>35.57</v>
      </c>
      <c r="E3322" s="1">
        <f>IFERROR(__xludf.DUMMYFUNCTION("""COMPUTED_VALUE"""),37.47)</f>
        <v>37.47</v>
      </c>
      <c r="F3322" s="1">
        <f>IFERROR(__xludf.DUMMYFUNCTION("""COMPUTED_VALUE"""),739688.0)</f>
        <v>739688</v>
      </c>
    </row>
    <row r="3323">
      <c r="A3323" s="2">
        <f>IFERROR(__xludf.DUMMYFUNCTION("""COMPUTED_VALUE"""),45002.66666666667)</f>
        <v>45002.66667</v>
      </c>
      <c r="B3323" s="1">
        <f>IFERROR(__xludf.DUMMYFUNCTION("""COMPUTED_VALUE"""),36.2)</f>
        <v>36.2</v>
      </c>
      <c r="C3323" s="1">
        <f>IFERROR(__xludf.DUMMYFUNCTION("""COMPUTED_VALUE"""),36.65)</f>
        <v>36.65</v>
      </c>
      <c r="D3323" s="1">
        <f>IFERROR(__xludf.DUMMYFUNCTION("""COMPUTED_VALUE"""),35.4)</f>
        <v>35.4</v>
      </c>
      <c r="E3323" s="1">
        <f>IFERROR(__xludf.DUMMYFUNCTION("""COMPUTED_VALUE"""),35.97)</f>
        <v>35.97</v>
      </c>
      <c r="F3323" s="1">
        <f>IFERROR(__xludf.DUMMYFUNCTION("""COMPUTED_VALUE"""),2039232.0)</f>
        <v>2039232</v>
      </c>
    </row>
    <row r="3324">
      <c r="A3324" s="2">
        <f>IFERROR(__xludf.DUMMYFUNCTION("""COMPUTED_VALUE"""),45005.66666666667)</f>
        <v>45005.66667</v>
      </c>
      <c r="B3324" s="1">
        <f>IFERROR(__xludf.DUMMYFUNCTION("""COMPUTED_VALUE"""),36.87)</f>
        <v>36.87</v>
      </c>
      <c r="C3324" s="1">
        <f>IFERROR(__xludf.DUMMYFUNCTION("""COMPUTED_VALUE"""),37.44)</f>
        <v>37.44</v>
      </c>
      <c r="D3324" s="1">
        <f>IFERROR(__xludf.DUMMYFUNCTION("""COMPUTED_VALUE"""),35.61)</f>
        <v>35.61</v>
      </c>
      <c r="E3324" s="1">
        <f>IFERROR(__xludf.DUMMYFUNCTION("""COMPUTED_VALUE"""),35.68)</f>
        <v>35.68</v>
      </c>
      <c r="F3324" s="1">
        <f>IFERROR(__xludf.DUMMYFUNCTION("""COMPUTED_VALUE"""),652279.0)</f>
        <v>652279</v>
      </c>
    </row>
    <row r="3325">
      <c r="A3325" s="2">
        <f>IFERROR(__xludf.DUMMYFUNCTION("""COMPUTED_VALUE"""),45006.66666666667)</f>
        <v>45006.66667</v>
      </c>
      <c r="B3325" s="1">
        <f>IFERROR(__xludf.DUMMYFUNCTION("""COMPUTED_VALUE"""),37.0)</f>
        <v>37</v>
      </c>
      <c r="C3325" s="1">
        <f>IFERROR(__xludf.DUMMYFUNCTION("""COMPUTED_VALUE"""),37.7)</f>
        <v>37.7</v>
      </c>
      <c r="D3325" s="1">
        <f>IFERROR(__xludf.DUMMYFUNCTION("""COMPUTED_VALUE"""),36.89)</f>
        <v>36.89</v>
      </c>
      <c r="E3325" s="1">
        <f>IFERROR(__xludf.DUMMYFUNCTION("""COMPUTED_VALUE"""),37.17)</f>
        <v>37.17</v>
      </c>
      <c r="F3325" s="1">
        <f>IFERROR(__xludf.DUMMYFUNCTION("""COMPUTED_VALUE"""),486811.0)</f>
        <v>486811</v>
      </c>
    </row>
    <row r="3326">
      <c r="A3326" s="2">
        <f>IFERROR(__xludf.DUMMYFUNCTION("""COMPUTED_VALUE"""),45007.66666666667)</f>
        <v>45007.66667</v>
      </c>
      <c r="B3326" s="1">
        <f>IFERROR(__xludf.DUMMYFUNCTION("""COMPUTED_VALUE"""),37.09)</f>
        <v>37.09</v>
      </c>
      <c r="C3326" s="1">
        <f>IFERROR(__xludf.DUMMYFUNCTION("""COMPUTED_VALUE"""),37.14)</f>
        <v>37.14</v>
      </c>
      <c r="D3326" s="1">
        <f>IFERROR(__xludf.DUMMYFUNCTION("""COMPUTED_VALUE"""),35.12)</f>
        <v>35.12</v>
      </c>
      <c r="E3326" s="1">
        <f>IFERROR(__xludf.DUMMYFUNCTION("""COMPUTED_VALUE"""),35.12)</f>
        <v>35.12</v>
      </c>
      <c r="F3326" s="1">
        <f>IFERROR(__xludf.DUMMYFUNCTION("""COMPUTED_VALUE"""),372587.0)</f>
        <v>372587</v>
      </c>
    </row>
    <row r="3327">
      <c r="A3327" s="2">
        <f>IFERROR(__xludf.DUMMYFUNCTION("""COMPUTED_VALUE"""),45008.66666666667)</f>
        <v>45008.66667</v>
      </c>
      <c r="B3327" s="1">
        <f>IFERROR(__xludf.DUMMYFUNCTION("""COMPUTED_VALUE"""),35.48)</f>
        <v>35.48</v>
      </c>
      <c r="C3327" s="1">
        <f>IFERROR(__xludf.DUMMYFUNCTION("""COMPUTED_VALUE"""),35.62)</f>
        <v>35.62</v>
      </c>
      <c r="D3327" s="1">
        <f>IFERROR(__xludf.DUMMYFUNCTION("""COMPUTED_VALUE"""),33.67)</f>
        <v>33.67</v>
      </c>
      <c r="E3327" s="1">
        <f>IFERROR(__xludf.DUMMYFUNCTION("""COMPUTED_VALUE"""),33.82)</f>
        <v>33.82</v>
      </c>
      <c r="F3327" s="1">
        <f>IFERROR(__xludf.DUMMYFUNCTION("""COMPUTED_VALUE"""),411454.0)</f>
        <v>411454</v>
      </c>
    </row>
    <row r="3328">
      <c r="A3328" s="2">
        <f>IFERROR(__xludf.DUMMYFUNCTION("""COMPUTED_VALUE"""),45009.66666666667)</f>
        <v>45009.66667</v>
      </c>
      <c r="B3328" s="1">
        <f>IFERROR(__xludf.DUMMYFUNCTION("""COMPUTED_VALUE"""),33.08)</f>
        <v>33.08</v>
      </c>
      <c r="C3328" s="1">
        <f>IFERROR(__xludf.DUMMYFUNCTION("""COMPUTED_VALUE"""),34.25)</f>
        <v>34.25</v>
      </c>
      <c r="D3328" s="1">
        <f>IFERROR(__xludf.DUMMYFUNCTION("""COMPUTED_VALUE"""),32.89)</f>
        <v>32.89</v>
      </c>
      <c r="E3328" s="1">
        <f>IFERROR(__xludf.DUMMYFUNCTION("""COMPUTED_VALUE"""),34.13)</f>
        <v>34.13</v>
      </c>
      <c r="F3328" s="1">
        <f>IFERROR(__xludf.DUMMYFUNCTION("""COMPUTED_VALUE"""),867317.0)</f>
        <v>867317</v>
      </c>
    </row>
    <row r="3329">
      <c r="A3329" s="2">
        <f>IFERROR(__xludf.DUMMYFUNCTION("""COMPUTED_VALUE"""),45012.66666666667)</f>
        <v>45012.66667</v>
      </c>
      <c r="B3329" s="1">
        <f>IFERROR(__xludf.DUMMYFUNCTION("""COMPUTED_VALUE"""),35.21)</f>
        <v>35.21</v>
      </c>
      <c r="C3329" s="1">
        <f>IFERROR(__xludf.DUMMYFUNCTION("""COMPUTED_VALUE"""),35.4)</f>
        <v>35.4</v>
      </c>
      <c r="D3329" s="1">
        <f>IFERROR(__xludf.DUMMYFUNCTION("""COMPUTED_VALUE"""),34.38)</f>
        <v>34.38</v>
      </c>
      <c r="E3329" s="1">
        <f>IFERROR(__xludf.DUMMYFUNCTION("""COMPUTED_VALUE"""),34.81)</f>
        <v>34.81</v>
      </c>
      <c r="F3329" s="1">
        <f>IFERROR(__xludf.DUMMYFUNCTION("""COMPUTED_VALUE"""),344679.0)</f>
        <v>344679</v>
      </c>
    </row>
    <row r="3330">
      <c r="A3330" s="2">
        <f>IFERROR(__xludf.DUMMYFUNCTION("""COMPUTED_VALUE"""),45013.66666666667)</f>
        <v>45013.66667</v>
      </c>
      <c r="B3330" s="1">
        <f>IFERROR(__xludf.DUMMYFUNCTION("""COMPUTED_VALUE"""),34.75)</f>
        <v>34.75</v>
      </c>
      <c r="C3330" s="1">
        <f>IFERROR(__xludf.DUMMYFUNCTION("""COMPUTED_VALUE"""),35.11)</f>
        <v>35.11</v>
      </c>
      <c r="D3330" s="1">
        <f>IFERROR(__xludf.DUMMYFUNCTION("""COMPUTED_VALUE"""),34.35)</f>
        <v>34.35</v>
      </c>
      <c r="E3330" s="1">
        <f>IFERROR(__xludf.DUMMYFUNCTION("""COMPUTED_VALUE"""),34.75)</f>
        <v>34.75</v>
      </c>
      <c r="F3330" s="1">
        <f>IFERROR(__xludf.DUMMYFUNCTION("""COMPUTED_VALUE"""),270705.0)</f>
        <v>270705</v>
      </c>
    </row>
    <row r="3331">
      <c r="A3331" s="2">
        <f>IFERROR(__xludf.DUMMYFUNCTION("""COMPUTED_VALUE"""),45014.66666666667)</f>
        <v>45014.66667</v>
      </c>
      <c r="B3331" s="1">
        <f>IFERROR(__xludf.DUMMYFUNCTION("""COMPUTED_VALUE"""),35.24)</f>
        <v>35.24</v>
      </c>
      <c r="C3331" s="1">
        <f>IFERROR(__xludf.DUMMYFUNCTION("""COMPUTED_VALUE"""),35.24)</f>
        <v>35.24</v>
      </c>
      <c r="D3331" s="1">
        <f>IFERROR(__xludf.DUMMYFUNCTION("""COMPUTED_VALUE"""),34.47)</f>
        <v>34.47</v>
      </c>
      <c r="E3331" s="1">
        <f>IFERROR(__xludf.DUMMYFUNCTION("""COMPUTED_VALUE"""),35.08)</f>
        <v>35.08</v>
      </c>
      <c r="F3331" s="1">
        <f>IFERROR(__xludf.DUMMYFUNCTION("""COMPUTED_VALUE"""),260329.0)</f>
        <v>260329</v>
      </c>
    </row>
    <row r="3332">
      <c r="A3332" s="2">
        <f>IFERROR(__xludf.DUMMYFUNCTION("""COMPUTED_VALUE"""),45015.66666666667)</f>
        <v>45015.66667</v>
      </c>
      <c r="B3332" s="1">
        <f>IFERROR(__xludf.DUMMYFUNCTION("""COMPUTED_VALUE"""),35.24)</f>
        <v>35.24</v>
      </c>
      <c r="C3332" s="1">
        <f>IFERROR(__xludf.DUMMYFUNCTION("""COMPUTED_VALUE"""),35.26)</f>
        <v>35.26</v>
      </c>
      <c r="D3332" s="1">
        <f>IFERROR(__xludf.DUMMYFUNCTION("""COMPUTED_VALUE"""),33.99)</f>
        <v>33.99</v>
      </c>
      <c r="E3332" s="1">
        <f>IFERROR(__xludf.DUMMYFUNCTION("""COMPUTED_VALUE"""),34.05)</f>
        <v>34.05</v>
      </c>
      <c r="F3332" s="1">
        <f>IFERROR(__xludf.DUMMYFUNCTION("""COMPUTED_VALUE"""),391761.0)</f>
        <v>391761</v>
      </c>
    </row>
    <row r="3333">
      <c r="A3333" s="2">
        <f>IFERROR(__xludf.DUMMYFUNCTION("""COMPUTED_VALUE"""),45016.66666666667)</f>
        <v>45016.66667</v>
      </c>
      <c r="B3333" s="1">
        <f>IFERROR(__xludf.DUMMYFUNCTION("""COMPUTED_VALUE"""),34.32)</f>
        <v>34.32</v>
      </c>
      <c r="C3333" s="1">
        <f>IFERROR(__xludf.DUMMYFUNCTION("""COMPUTED_VALUE"""),34.56)</f>
        <v>34.56</v>
      </c>
      <c r="D3333" s="1">
        <f>IFERROR(__xludf.DUMMYFUNCTION("""COMPUTED_VALUE"""),34.06)</f>
        <v>34.06</v>
      </c>
      <c r="E3333" s="1">
        <f>IFERROR(__xludf.DUMMYFUNCTION("""COMPUTED_VALUE"""),34.52)</f>
        <v>34.52</v>
      </c>
      <c r="F3333" s="1">
        <f>IFERROR(__xludf.DUMMYFUNCTION("""COMPUTED_VALUE"""),485347.0)</f>
        <v>485347</v>
      </c>
    </row>
    <row r="3334">
      <c r="A3334" s="2">
        <f>IFERROR(__xludf.DUMMYFUNCTION("""COMPUTED_VALUE"""),45019.66666666667)</f>
        <v>45019.66667</v>
      </c>
      <c r="B3334" s="1">
        <f>IFERROR(__xludf.DUMMYFUNCTION("""COMPUTED_VALUE"""),34.65)</f>
        <v>34.65</v>
      </c>
      <c r="C3334" s="1">
        <f>IFERROR(__xludf.DUMMYFUNCTION("""COMPUTED_VALUE"""),34.73)</f>
        <v>34.73</v>
      </c>
      <c r="D3334" s="1">
        <f>IFERROR(__xludf.DUMMYFUNCTION("""COMPUTED_VALUE"""),33.88)</f>
        <v>33.88</v>
      </c>
      <c r="E3334" s="1">
        <f>IFERROR(__xludf.DUMMYFUNCTION("""COMPUTED_VALUE"""),34.21)</f>
        <v>34.21</v>
      </c>
      <c r="F3334" s="1">
        <f>IFERROR(__xludf.DUMMYFUNCTION("""COMPUTED_VALUE"""),312835.0)</f>
        <v>312835</v>
      </c>
    </row>
    <row r="3335">
      <c r="A3335" s="2">
        <f>IFERROR(__xludf.DUMMYFUNCTION("""COMPUTED_VALUE"""),45020.66666666667)</f>
        <v>45020.66667</v>
      </c>
      <c r="B3335" s="1">
        <f>IFERROR(__xludf.DUMMYFUNCTION("""COMPUTED_VALUE"""),34.43)</f>
        <v>34.43</v>
      </c>
      <c r="C3335" s="1">
        <f>IFERROR(__xludf.DUMMYFUNCTION("""COMPUTED_VALUE"""),34.43)</f>
        <v>34.43</v>
      </c>
      <c r="D3335" s="1">
        <f>IFERROR(__xludf.DUMMYFUNCTION("""COMPUTED_VALUE"""),32.75)</f>
        <v>32.75</v>
      </c>
      <c r="E3335" s="1">
        <f>IFERROR(__xludf.DUMMYFUNCTION("""COMPUTED_VALUE"""),33.38)</f>
        <v>33.38</v>
      </c>
      <c r="F3335" s="1">
        <f>IFERROR(__xludf.DUMMYFUNCTION("""COMPUTED_VALUE"""),293374.0)</f>
        <v>293374</v>
      </c>
    </row>
    <row r="3336">
      <c r="A3336" s="2">
        <f>IFERROR(__xludf.DUMMYFUNCTION("""COMPUTED_VALUE"""),45021.66666666667)</f>
        <v>45021.66667</v>
      </c>
      <c r="B3336" s="1">
        <f>IFERROR(__xludf.DUMMYFUNCTION("""COMPUTED_VALUE"""),32.97)</f>
        <v>32.97</v>
      </c>
      <c r="C3336" s="1">
        <f>IFERROR(__xludf.DUMMYFUNCTION("""COMPUTED_VALUE"""),33.36)</f>
        <v>33.36</v>
      </c>
      <c r="D3336" s="1">
        <f>IFERROR(__xludf.DUMMYFUNCTION("""COMPUTED_VALUE"""),32.7)</f>
        <v>32.7</v>
      </c>
      <c r="E3336" s="1">
        <f>IFERROR(__xludf.DUMMYFUNCTION("""COMPUTED_VALUE"""),32.87)</f>
        <v>32.87</v>
      </c>
      <c r="F3336" s="1">
        <f>IFERROR(__xludf.DUMMYFUNCTION("""COMPUTED_VALUE"""),365195.0)</f>
        <v>365195</v>
      </c>
    </row>
    <row r="3337">
      <c r="A3337" s="2">
        <f>IFERROR(__xludf.DUMMYFUNCTION("""COMPUTED_VALUE"""),45022.66666666667)</f>
        <v>45022.66667</v>
      </c>
      <c r="B3337" s="1">
        <f>IFERROR(__xludf.DUMMYFUNCTION("""COMPUTED_VALUE"""),32.85)</f>
        <v>32.85</v>
      </c>
      <c r="C3337" s="1">
        <f>IFERROR(__xludf.DUMMYFUNCTION("""COMPUTED_VALUE"""),33.39)</f>
        <v>33.39</v>
      </c>
      <c r="D3337" s="1">
        <f>IFERROR(__xludf.DUMMYFUNCTION("""COMPUTED_VALUE"""),32.69)</f>
        <v>32.69</v>
      </c>
      <c r="E3337" s="1">
        <f>IFERROR(__xludf.DUMMYFUNCTION("""COMPUTED_VALUE"""),33.17)</f>
        <v>33.17</v>
      </c>
      <c r="F3337" s="1">
        <f>IFERROR(__xludf.DUMMYFUNCTION("""COMPUTED_VALUE"""),304135.0)</f>
        <v>304135</v>
      </c>
    </row>
    <row r="3338">
      <c r="A3338" s="2">
        <f>IFERROR(__xludf.DUMMYFUNCTION("""COMPUTED_VALUE"""),45026.66666666667)</f>
        <v>45026.66667</v>
      </c>
      <c r="B3338" s="1">
        <f>IFERROR(__xludf.DUMMYFUNCTION("""COMPUTED_VALUE"""),33.06)</f>
        <v>33.06</v>
      </c>
      <c r="C3338" s="1">
        <f>IFERROR(__xludf.DUMMYFUNCTION("""COMPUTED_VALUE"""),33.78)</f>
        <v>33.78</v>
      </c>
      <c r="D3338" s="1">
        <f>IFERROR(__xludf.DUMMYFUNCTION("""COMPUTED_VALUE"""),32.86)</f>
        <v>32.86</v>
      </c>
      <c r="E3338" s="1">
        <f>IFERROR(__xludf.DUMMYFUNCTION("""COMPUTED_VALUE"""),33.51)</f>
        <v>33.51</v>
      </c>
      <c r="F3338" s="1">
        <f>IFERROR(__xludf.DUMMYFUNCTION("""COMPUTED_VALUE"""),367880.0)</f>
        <v>367880</v>
      </c>
    </row>
    <row r="3339">
      <c r="A3339" s="2">
        <f>IFERROR(__xludf.DUMMYFUNCTION("""COMPUTED_VALUE"""),45027.66666666667)</f>
        <v>45027.66667</v>
      </c>
      <c r="B3339" s="1">
        <f>IFERROR(__xludf.DUMMYFUNCTION("""COMPUTED_VALUE"""),33.62)</f>
        <v>33.62</v>
      </c>
      <c r="C3339" s="1">
        <f>IFERROR(__xludf.DUMMYFUNCTION("""COMPUTED_VALUE"""),33.62)</f>
        <v>33.62</v>
      </c>
      <c r="D3339" s="1">
        <f>IFERROR(__xludf.DUMMYFUNCTION("""COMPUTED_VALUE"""),33.03)</f>
        <v>33.03</v>
      </c>
      <c r="E3339" s="1">
        <f>IFERROR(__xludf.DUMMYFUNCTION("""COMPUTED_VALUE"""),33.19)</f>
        <v>33.19</v>
      </c>
      <c r="F3339" s="1">
        <f>IFERROR(__xludf.DUMMYFUNCTION("""COMPUTED_VALUE"""),344896.0)</f>
        <v>344896</v>
      </c>
    </row>
    <row r="3340">
      <c r="A3340" s="2">
        <f>IFERROR(__xludf.DUMMYFUNCTION("""COMPUTED_VALUE"""),45028.66666666667)</f>
        <v>45028.66667</v>
      </c>
      <c r="B3340" s="1">
        <f>IFERROR(__xludf.DUMMYFUNCTION("""COMPUTED_VALUE"""),33.5)</f>
        <v>33.5</v>
      </c>
      <c r="C3340" s="1">
        <f>IFERROR(__xludf.DUMMYFUNCTION("""COMPUTED_VALUE"""),33.56)</f>
        <v>33.56</v>
      </c>
      <c r="D3340" s="1">
        <f>IFERROR(__xludf.DUMMYFUNCTION("""COMPUTED_VALUE"""),32.63)</f>
        <v>32.63</v>
      </c>
      <c r="E3340" s="1">
        <f>IFERROR(__xludf.DUMMYFUNCTION("""COMPUTED_VALUE"""),32.72)</f>
        <v>32.72</v>
      </c>
      <c r="F3340" s="1">
        <f>IFERROR(__xludf.DUMMYFUNCTION("""COMPUTED_VALUE"""),222667.0)</f>
        <v>222667</v>
      </c>
    </row>
    <row r="3341">
      <c r="A3341" s="2">
        <f>IFERROR(__xludf.DUMMYFUNCTION("""COMPUTED_VALUE"""),45029.66666666667)</f>
        <v>45029.66667</v>
      </c>
      <c r="B3341" s="1">
        <f>IFERROR(__xludf.DUMMYFUNCTION("""COMPUTED_VALUE"""),32.8)</f>
        <v>32.8</v>
      </c>
      <c r="C3341" s="1">
        <f>IFERROR(__xludf.DUMMYFUNCTION("""COMPUTED_VALUE"""),33.69)</f>
        <v>33.69</v>
      </c>
      <c r="D3341" s="1">
        <f>IFERROR(__xludf.DUMMYFUNCTION("""COMPUTED_VALUE"""),32.32)</f>
        <v>32.32</v>
      </c>
      <c r="E3341" s="1">
        <f>IFERROR(__xludf.DUMMYFUNCTION("""COMPUTED_VALUE"""),33.51)</f>
        <v>33.51</v>
      </c>
      <c r="F3341" s="1">
        <f>IFERROR(__xludf.DUMMYFUNCTION("""COMPUTED_VALUE"""),297974.0)</f>
        <v>297974</v>
      </c>
    </row>
    <row r="3342">
      <c r="A3342" s="2">
        <f>IFERROR(__xludf.DUMMYFUNCTION("""COMPUTED_VALUE"""),45030.66666666667)</f>
        <v>45030.66667</v>
      </c>
      <c r="B3342" s="1">
        <f>IFERROR(__xludf.DUMMYFUNCTION("""COMPUTED_VALUE"""),34.14)</f>
        <v>34.14</v>
      </c>
      <c r="C3342" s="1">
        <f>IFERROR(__xludf.DUMMYFUNCTION("""COMPUTED_VALUE"""),34.24)</f>
        <v>34.24</v>
      </c>
      <c r="D3342" s="1">
        <f>IFERROR(__xludf.DUMMYFUNCTION("""COMPUTED_VALUE"""),32.56)</f>
        <v>32.56</v>
      </c>
      <c r="E3342" s="1">
        <f>IFERROR(__xludf.DUMMYFUNCTION("""COMPUTED_VALUE"""),32.82)</f>
        <v>32.82</v>
      </c>
      <c r="F3342" s="1">
        <f>IFERROR(__xludf.DUMMYFUNCTION("""COMPUTED_VALUE"""),242513.0)</f>
        <v>242513</v>
      </c>
    </row>
    <row r="3343">
      <c r="A3343" s="2">
        <f>IFERROR(__xludf.DUMMYFUNCTION("""COMPUTED_VALUE"""),45033.66666666667)</f>
        <v>45033.66667</v>
      </c>
      <c r="B3343" s="1">
        <f>IFERROR(__xludf.DUMMYFUNCTION("""COMPUTED_VALUE"""),32.75)</f>
        <v>32.75</v>
      </c>
      <c r="C3343" s="1">
        <f>IFERROR(__xludf.DUMMYFUNCTION("""COMPUTED_VALUE"""),33.27)</f>
        <v>33.27</v>
      </c>
      <c r="D3343" s="1">
        <f>IFERROR(__xludf.DUMMYFUNCTION("""COMPUTED_VALUE"""),32.4)</f>
        <v>32.4</v>
      </c>
      <c r="E3343" s="1">
        <f>IFERROR(__xludf.DUMMYFUNCTION("""COMPUTED_VALUE"""),33.26)</f>
        <v>33.26</v>
      </c>
      <c r="F3343" s="1">
        <f>IFERROR(__xludf.DUMMYFUNCTION("""COMPUTED_VALUE"""),258225.0)</f>
        <v>258225</v>
      </c>
    </row>
    <row r="3344">
      <c r="A3344" s="2">
        <f>IFERROR(__xludf.DUMMYFUNCTION("""COMPUTED_VALUE"""),45034.66666666667)</f>
        <v>45034.66667</v>
      </c>
      <c r="B3344" s="1">
        <f>IFERROR(__xludf.DUMMYFUNCTION("""COMPUTED_VALUE"""),33.26)</f>
        <v>33.26</v>
      </c>
      <c r="C3344" s="1">
        <f>IFERROR(__xludf.DUMMYFUNCTION("""COMPUTED_VALUE"""),33.46)</f>
        <v>33.46</v>
      </c>
      <c r="D3344" s="1">
        <f>IFERROR(__xludf.DUMMYFUNCTION("""COMPUTED_VALUE"""),32.15)</f>
        <v>32.15</v>
      </c>
      <c r="E3344" s="1">
        <f>IFERROR(__xludf.DUMMYFUNCTION("""COMPUTED_VALUE"""),32.4)</f>
        <v>32.4</v>
      </c>
      <c r="F3344" s="1">
        <f>IFERROR(__xludf.DUMMYFUNCTION("""COMPUTED_VALUE"""),308285.0)</f>
        <v>308285</v>
      </c>
    </row>
    <row r="3345">
      <c r="A3345" s="2">
        <f>IFERROR(__xludf.DUMMYFUNCTION("""COMPUTED_VALUE"""),45035.66666666667)</f>
        <v>45035.66667</v>
      </c>
      <c r="B3345" s="1">
        <f>IFERROR(__xludf.DUMMYFUNCTION("""COMPUTED_VALUE"""),32.81)</f>
        <v>32.81</v>
      </c>
      <c r="C3345" s="1">
        <f>IFERROR(__xludf.DUMMYFUNCTION("""COMPUTED_VALUE"""),33.74)</f>
        <v>33.74</v>
      </c>
      <c r="D3345" s="1">
        <f>IFERROR(__xludf.DUMMYFUNCTION("""COMPUTED_VALUE"""),32.41)</f>
        <v>32.41</v>
      </c>
      <c r="E3345" s="1">
        <f>IFERROR(__xludf.DUMMYFUNCTION("""COMPUTED_VALUE"""),33.51)</f>
        <v>33.51</v>
      </c>
      <c r="F3345" s="1">
        <f>IFERROR(__xludf.DUMMYFUNCTION("""COMPUTED_VALUE"""),310956.0)</f>
        <v>310956</v>
      </c>
    </row>
    <row r="3346">
      <c r="A3346" s="2">
        <f>IFERROR(__xludf.DUMMYFUNCTION("""COMPUTED_VALUE"""),45036.66666666667)</f>
        <v>45036.66667</v>
      </c>
      <c r="B3346" s="1">
        <f>IFERROR(__xludf.DUMMYFUNCTION("""COMPUTED_VALUE"""),33.23)</f>
        <v>33.23</v>
      </c>
      <c r="C3346" s="1">
        <f>IFERROR(__xludf.DUMMYFUNCTION("""COMPUTED_VALUE"""),33.5)</f>
        <v>33.5</v>
      </c>
      <c r="D3346" s="1">
        <f>IFERROR(__xludf.DUMMYFUNCTION("""COMPUTED_VALUE"""),32.84)</f>
        <v>32.84</v>
      </c>
      <c r="E3346" s="1">
        <f>IFERROR(__xludf.DUMMYFUNCTION("""COMPUTED_VALUE"""),33.38)</f>
        <v>33.38</v>
      </c>
      <c r="F3346" s="1">
        <f>IFERROR(__xludf.DUMMYFUNCTION("""COMPUTED_VALUE"""),304957.0)</f>
        <v>304957</v>
      </c>
    </row>
    <row r="3347">
      <c r="A3347" s="2">
        <f>IFERROR(__xludf.DUMMYFUNCTION("""COMPUTED_VALUE"""),45037.66666666667)</f>
        <v>45037.66667</v>
      </c>
      <c r="B3347" s="1">
        <f>IFERROR(__xludf.DUMMYFUNCTION("""COMPUTED_VALUE"""),33.09)</f>
        <v>33.09</v>
      </c>
      <c r="C3347" s="1">
        <f>IFERROR(__xludf.DUMMYFUNCTION("""COMPUTED_VALUE"""),33.27)</f>
        <v>33.27</v>
      </c>
      <c r="D3347" s="1">
        <f>IFERROR(__xludf.DUMMYFUNCTION("""COMPUTED_VALUE"""),32.53)</f>
        <v>32.53</v>
      </c>
      <c r="E3347" s="1">
        <f>IFERROR(__xludf.DUMMYFUNCTION("""COMPUTED_VALUE"""),33.21)</f>
        <v>33.21</v>
      </c>
      <c r="F3347" s="1">
        <f>IFERROR(__xludf.DUMMYFUNCTION("""COMPUTED_VALUE"""),383624.0)</f>
        <v>383624</v>
      </c>
    </row>
    <row r="3348">
      <c r="A3348" s="2">
        <f>IFERROR(__xludf.DUMMYFUNCTION("""COMPUTED_VALUE"""),45040.66666666667)</f>
        <v>45040.66667</v>
      </c>
      <c r="B3348" s="1">
        <f>IFERROR(__xludf.DUMMYFUNCTION("""COMPUTED_VALUE"""),33.09)</f>
        <v>33.09</v>
      </c>
      <c r="C3348" s="1">
        <f>IFERROR(__xludf.DUMMYFUNCTION("""COMPUTED_VALUE"""),33.35)</f>
        <v>33.35</v>
      </c>
      <c r="D3348" s="1">
        <f>IFERROR(__xludf.DUMMYFUNCTION("""COMPUTED_VALUE"""),32.38)</f>
        <v>32.38</v>
      </c>
      <c r="E3348" s="1">
        <f>IFERROR(__xludf.DUMMYFUNCTION("""COMPUTED_VALUE"""),32.52)</f>
        <v>32.52</v>
      </c>
      <c r="F3348" s="1">
        <f>IFERROR(__xludf.DUMMYFUNCTION("""COMPUTED_VALUE"""),262786.0)</f>
        <v>262786</v>
      </c>
    </row>
    <row r="3349">
      <c r="A3349" s="2">
        <f>IFERROR(__xludf.DUMMYFUNCTION("""COMPUTED_VALUE"""),45041.66666666667)</f>
        <v>45041.66667</v>
      </c>
      <c r="B3349" s="1">
        <f>IFERROR(__xludf.DUMMYFUNCTION("""COMPUTED_VALUE"""),32.69)</f>
        <v>32.69</v>
      </c>
      <c r="C3349" s="1">
        <f>IFERROR(__xludf.DUMMYFUNCTION("""COMPUTED_VALUE"""),32.69)</f>
        <v>32.69</v>
      </c>
      <c r="D3349" s="1">
        <f>IFERROR(__xludf.DUMMYFUNCTION("""COMPUTED_VALUE"""),31.03)</f>
        <v>31.03</v>
      </c>
      <c r="E3349" s="1">
        <f>IFERROR(__xludf.DUMMYFUNCTION("""COMPUTED_VALUE"""),31.1)</f>
        <v>31.1</v>
      </c>
      <c r="F3349" s="1">
        <f>IFERROR(__xludf.DUMMYFUNCTION("""COMPUTED_VALUE"""),293287.0)</f>
        <v>293287</v>
      </c>
    </row>
    <row r="3350">
      <c r="A3350" s="2">
        <f>IFERROR(__xludf.DUMMYFUNCTION("""COMPUTED_VALUE"""),45042.66666666667)</f>
        <v>45042.66667</v>
      </c>
      <c r="B3350" s="1">
        <f>IFERROR(__xludf.DUMMYFUNCTION("""COMPUTED_VALUE"""),31.1)</f>
        <v>31.1</v>
      </c>
      <c r="C3350" s="1">
        <f>IFERROR(__xludf.DUMMYFUNCTION("""COMPUTED_VALUE"""),31.59)</f>
        <v>31.59</v>
      </c>
      <c r="D3350" s="1">
        <f>IFERROR(__xludf.DUMMYFUNCTION("""COMPUTED_VALUE"""),30.44)</f>
        <v>30.44</v>
      </c>
      <c r="E3350" s="1">
        <f>IFERROR(__xludf.DUMMYFUNCTION("""COMPUTED_VALUE"""),30.82)</f>
        <v>30.82</v>
      </c>
      <c r="F3350" s="1">
        <f>IFERROR(__xludf.DUMMYFUNCTION("""COMPUTED_VALUE"""),285878.0)</f>
        <v>285878</v>
      </c>
    </row>
    <row r="3351">
      <c r="A3351" s="2">
        <f>IFERROR(__xludf.DUMMYFUNCTION("""COMPUTED_VALUE"""),45043.66666666667)</f>
        <v>45043.66667</v>
      </c>
      <c r="B3351" s="1">
        <f>IFERROR(__xludf.DUMMYFUNCTION("""COMPUTED_VALUE"""),31.04)</f>
        <v>31.04</v>
      </c>
      <c r="C3351" s="1">
        <f>IFERROR(__xludf.DUMMYFUNCTION("""COMPUTED_VALUE"""),31.33)</f>
        <v>31.33</v>
      </c>
      <c r="D3351" s="1">
        <f>IFERROR(__xludf.DUMMYFUNCTION("""COMPUTED_VALUE"""),30.79)</f>
        <v>30.79</v>
      </c>
      <c r="E3351" s="1">
        <f>IFERROR(__xludf.DUMMYFUNCTION("""COMPUTED_VALUE"""),31.04)</f>
        <v>31.04</v>
      </c>
      <c r="F3351" s="1">
        <f>IFERROR(__xludf.DUMMYFUNCTION("""COMPUTED_VALUE"""),240525.0)</f>
        <v>240525</v>
      </c>
    </row>
    <row r="3352">
      <c r="A3352" s="2">
        <f>IFERROR(__xludf.DUMMYFUNCTION("""COMPUTED_VALUE"""),45044.66666666667)</f>
        <v>45044.66667</v>
      </c>
      <c r="B3352" s="1">
        <f>IFERROR(__xludf.DUMMYFUNCTION("""COMPUTED_VALUE"""),31.29)</f>
        <v>31.29</v>
      </c>
      <c r="C3352" s="1">
        <f>IFERROR(__xludf.DUMMYFUNCTION("""COMPUTED_VALUE"""),32.23)</f>
        <v>32.23</v>
      </c>
      <c r="D3352" s="1">
        <f>IFERROR(__xludf.DUMMYFUNCTION("""COMPUTED_VALUE"""),31.1)</f>
        <v>31.1</v>
      </c>
      <c r="E3352" s="1">
        <f>IFERROR(__xludf.DUMMYFUNCTION("""COMPUTED_VALUE"""),31.87)</f>
        <v>31.87</v>
      </c>
      <c r="F3352" s="1">
        <f>IFERROR(__xludf.DUMMYFUNCTION("""COMPUTED_VALUE"""),269105.0)</f>
        <v>269105</v>
      </c>
    </row>
    <row r="3353">
      <c r="A3353" s="2">
        <f>IFERROR(__xludf.DUMMYFUNCTION("""COMPUTED_VALUE"""),45047.66666666667)</f>
        <v>45047.66667</v>
      </c>
      <c r="B3353" s="1">
        <f>IFERROR(__xludf.DUMMYFUNCTION("""COMPUTED_VALUE"""),31.76)</f>
        <v>31.76</v>
      </c>
      <c r="C3353" s="1">
        <f>IFERROR(__xludf.DUMMYFUNCTION("""COMPUTED_VALUE"""),32.12)</f>
        <v>32.12</v>
      </c>
      <c r="D3353" s="1">
        <f>IFERROR(__xludf.DUMMYFUNCTION("""COMPUTED_VALUE"""),31.25)</f>
        <v>31.25</v>
      </c>
      <c r="E3353" s="1">
        <f>IFERROR(__xludf.DUMMYFUNCTION("""COMPUTED_VALUE"""),31.43)</f>
        <v>31.43</v>
      </c>
      <c r="F3353" s="1">
        <f>IFERROR(__xludf.DUMMYFUNCTION("""COMPUTED_VALUE"""),235811.0)</f>
        <v>235811</v>
      </c>
    </row>
    <row r="3354">
      <c r="A3354" s="2">
        <f>IFERROR(__xludf.DUMMYFUNCTION("""COMPUTED_VALUE"""),45048.66666666667)</f>
        <v>45048.66667</v>
      </c>
      <c r="B3354" s="1">
        <f>IFERROR(__xludf.DUMMYFUNCTION("""COMPUTED_VALUE"""),31.21)</f>
        <v>31.21</v>
      </c>
      <c r="C3354" s="1">
        <f>IFERROR(__xludf.DUMMYFUNCTION("""COMPUTED_VALUE"""),31.21)</f>
        <v>31.21</v>
      </c>
      <c r="D3354" s="1">
        <f>IFERROR(__xludf.DUMMYFUNCTION("""COMPUTED_VALUE"""),29.09)</f>
        <v>29.09</v>
      </c>
      <c r="E3354" s="1">
        <f>IFERROR(__xludf.DUMMYFUNCTION("""COMPUTED_VALUE"""),29.25)</f>
        <v>29.25</v>
      </c>
      <c r="F3354" s="1">
        <f>IFERROR(__xludf.DUMMYFUNCTION("""COMPUTED_VALUE"""),383949.0)</f>
        <v>383949</v>
      </c>
    </row>
    <row r="3355">
      <c r="A3355" s="2">
        <f>IFERROR(__xludf.DUMMYFUNCTION("""COMPUTED_VALUE"""),45049.66666666667)</f>
        <v>45049.66667</v>
      </c>
      <c r="B3355" s="1">
        <f>IFERROR(__xludf.DUMMYFUNCTION("""COMPUTED_VALUE"""),29.34)</f>
        <v>29.34</v>
      </c>
      <c r="C3355" s="1">
        <f>IFERROR(__xludf.DUMMYFUNCTION("""COMPUTED_VALUE"""),30.42)</f>
        <v>30.42</v>
      </c>
      <c r="D3355" s="1">
        <f>IFERROR(__xludf.DUMMYFUNCTION("""COMPUTED_VALUE"""),29.0)</f>
        <v>29</v>
      </c>
      <c r="E3355" s="1">
        <f>IFERROR(__xludf.DUMMYFUNCTION("""COMPUTED_VALUE"""),29.19)</f>
        <v>29.19</v>
      </c>
      <c r="F3355" s="1">
        <f>IFERROR(__xludf.DUMMYFUNCTION("""COMPUTED_VALUE"""),962553.0)</f>
        <v>962553</v>
      </c>
    </row>
    <row r="3356">
      <c r="A3356" s="2">
        <f>IFERROR(__xludf.DUMMYFUNCTION("""COMPUTED_VALUE"""),45050.66666666667)</f>
        <v>45050.66667</v>
      </c>
      <c r="B3356" s="1">
        <f>IFERROR(__xludf.DUMMYFUNCTION("""COMPUTED_VALUE"""),28.44)</f>
        <v>28.44</v>
      </c>
      <c r="C3356" s="1">
        <f>IFERROR(__xludf.DUMMYFUNCTION("""COMPUTED_VALUE"""),29.0)</f>
        <v>29</v>
      </c>
      <c r="D3356" s="1">
        <f>IFERROR(__xludf.DUMMYFUNCTION("""COMPUTED_VALUE"""),27.24)</f>
        <v>27.24</v>
      </c>
      <c r="E3356" s="1">
        <f>IFERROR(__xludf.DUMMYFUNCTION("""COMPUTED_VALUE"""),28.77)</f>
        <v>28.77</v>
      </c>
      <c r="F3356" s="1">
        <f>IFERROR(__xludf.DUMMYFUNCTION("""COMPUTED_VALUE"""),619908.0)</f>
        <v>619908</v>
      </c>
    </row>
    <row r="3357">
      <c r="A3357" s="2">
        <f>IFERROR(__xludf.DUMMYFUNCTION("""COMPUTED_VALUE"""),45051.66666666667)</f>
        <v>45051.66667</v>
      </c>
      <c r="B3357" s="1">
        <f>IFERROR(__xludf.DUMMYFUNCTION("""COMPUTED_VALUE"""),29.76)</f>
        <v>29.76</v>
      </c>
      <c r="C3357" s="1">
        <f>IFERROR(__xludf.DUMMYFUNCTION("""COMPUTED_VALUE"""),30.12)</f>
        <v>30.12</v>
      </c>
      <c r="D3357" s="1">
        <f>IFERROR(__xludf.DUMMYFUNCTION("""COMPUTED_VALUE"""),29.12)</f>
        <v>29.12</v>
      </c>
      <c r="E3357" s="1">
        <f>IFERROR(__xludf.DUMMYFUNCTION("""COMPUTED_VALUE"""),29.62)</f>
        <v>29.62</v>
      </c>
      <c r="F3357" s="1">
        <f>IFERROR(__xludf.DUMMYFUNCTION("""COMPUTED_VALUE"""),652588.0)</f>
        <v>652588</v>
      </c>
    </row>
    <row r="3358">
      <c r="A3358" s="2">
        <f>IFERROR(__xludf.DUMMYFUNCTION("""COMPUTED_VALUE"""),45054.66666666667)</f>
        <v>45054.66667</v>
      </c>
      <c r="B3358" s="1">
        <f>IFERROR(__xludf.DUMMYFUNCTION("""COMPUTED_VALUE"""),30.05)</f>
        <v>30.05</v>
      </c>
      <c r="C3358" s="1">
        <f>IFERROR(__xludf.DUMMYFUNCTION("""COMPUTED_VALUE"""),30.13)</f>
        <v>30.13</v>
      </c>
      <c r="D3358" s="1">
        <f>IFERROR(__xludf.DUMMYFUNCTION("""COMPUTED_VALUE"""),28.18)</f>
        <v>28.18</v>
      </c>
      <c r="E3358" s="1">
        <f>IFERROR(__xludf.DUMMYFUNCTION("""COMPUTED_VALUE"""),28.29)</f>
        <v>28.29</v>
      </c>
      <c r="F3358" s="1">
        <f>IFERROR(__xludf.DUMMYFUNCTION("""COMPUTED_VALUE"""),698346.0)</f>
        <v>698346</v>
      </c>
    </row>
    <row r="3359">
      <c r="A3359" s="2">
        <f>IFERROR(__xludf.DUMMYFUNCTION("""COMPUTED_VALUE"""),45055.66666666667)</f>
        <v>45055.66667</v>
      </c>
      <c r="B3359" s="1">
        <f>IFERROR(__xludf.DUMMYFUNCTION("""COMPUTED_VALUE"""),28.13)</f>
        <v>28.13</v>
      </c>
      <c r="C3359" s="1">
        <f>IFERROR(__xludf.DUMMYFUNCTION("""COMPUTED_VALUE"""),28.69)</f>
        <v>28.69</v>
      </c>
      <c r="D3359" s="1">
        <f>IFERROR(__xludf.DUMMYFUNCTION("""COMPUTED_VALUE"""),27.76)</f>
        <v>27.76</v>
      </c>
      <c r="E3359" s="1">
        <f>IFERROR(__xludf.DUMMYFUNCTION("""COMPUTED_VALUE"""),28.5)</f>
        <v>28.5</v>
      </c>
      <c r="F3359" s="1">
        <f>IFERROR(__xludf.DUMMYFUNCTION("""COMPUTED_VALUE"""),364618.0)</f>
        <v>364618</v>
      </c>
    </row>
    <row r="3360">
      <c r="A3360" s="2">
        <f>IFERROR(__xludf.DUMMYFUNCTION("""COMPUTED_VALUE"""),45056.66666666667)</f>
        <v>45056.66667</v>
      </c>
      <c r="B3360" s="1">
        <f>IFERROR(__xludf.DUMMYFUNCTION("""COMPUTED_VALUE"""),29.0)</f>
        <v>29</v>
      </c>
      <c r="C3360" s="1">
        <f>IFERROR(__xludf.DUMMYFUNCTION("""COMPUTED_VALUE"""),29.23)</f>
        <v>29.23</v>
      </c>
      <c r="D3360" s="1">
        <f>IFERROR(__xludf.DUMMYFUNCTION("""COMPUTED_VALUE"""),28.0)</f>
        <v>28</v>
      </c>
      <c r="E3360" s="1">
        <f>IFERROR(__xludf.DUMMYFUNCTION("""COMPUTED_VALUE"""),28.41)</f>
        <v>28.41</v>
      </c>
      <c r="F3360" s="1">
        <f>IFERROR(__xludf.DUMMYFUNCTION("""COMPUTED_VALUE"""),256284.0)</f>
        <v>256284</v>
      </c>
    </row>
    <row r="3361">
      <c r="A3361" s="2">
        <f>IFERROR(__xludf.DUMMYFUNCTION("""COMPUTED_VALUE"""),45057.66666666667)</f>
        <v>45057.66667</v>
      </c>
      <c r="B3361" s="1">
        <f>IFERROR(__xludf.DUMMYFUNCTION("""COMPUTED_VALUE"""),28.04)</f>
        <v>28.04</v>
      </c>
      <c r="C3361" s="1">
        <f>IFERROR(__xludf.DUMMYFUNCTION("""COMPUTED_VALUE"""),28.42)</f>
        <v>28.42</v>
      </c>
      <c r="D3361" s="1">
        <f>IFERROR(__xludf.DUMMYFUNCTION("""COMPUTED_VALUE"""),27.85)</f>
        <v>27.85</v>
      </c>
      <c r="E3361" s="1">
        <f>IFERROR(__xludf.DUMMYFUNCTION("""COMPUTED_VALUE"""),28.04)</f>
        <v>28.04</v>
      </c>
      <c r="F3361" s="1">
        <f>IFERROR(__xludf.DUMMYFUNCTION("""COMPUTED_VALUE"""),246592.0)</f>
        <v>246592</v>
      </c>
    </row>
    <row r="3362">
      <c r="A3362" s="2">
        <f>IFERROR(__xludf.DUMMYFUNCTION("""COMPUTED_VALUE"""),45058.66666666667)</f>
        <v>45058.66667</v>
      </c>
      <c r="B3362" s="1">
        <f>IFERROR(__xludf.DUMMYFUNCTION("""COMPUTED_VALUE"""),28.28)</f>
        <v>28.28</v>
      </c>
      <c r="C3362" s="1">
        <f>IFERROR(__xludf.DUMMYFUNCTION("""COMPUTED_VALUE"""),28.3)</f>
        <v>28.3</v>
      </c>
      <c r="D3362" s="1">
        <f>IFERROR(__xludf.DUMMYFUNCTION("""COMPUTED_VALUE"""),27.76)</f>
        <v>27.76</v>
      </c>
      <c r="E3362" s="1">
        <f>IFERROR(__xludf.DUMMYFUNCTION("""COMPUTED_VALUE"""),28.2)</f>
        <v>28.2</v>
      </c>
      <c r="F3362" s="1">
        <f>IFERROR(__xludf.DUMMYFUNCTION("""COMPUTED_VALUE"""),316261.0)</f>
        <v>316261</v>
      </c>
    </row>
    <row r="3363">
      <c r="A3363" s="2">
        <f>IFERROR(__xludf.DUMMYFUNCTION("""COMPUTED_VALUE"""),45061.66666666667)</f>
        <v>45061.66667</v>
      </c>
      <c r="B3363" s="1">
        <f>IFERROR(__xludf.DUMMYFUNCTION("""COMPUTED_VALUE"""),28.35)</f>
        <v>28.35</v>
      </c>
      <c r="C3363" s="1">
        <f>IFERROR(__xludf.DUMMYFUNCTION("""COMPUTED_VALUE"""),29.24)</f>
        <v>29.24</v>
      </c>
      <c r="D3363" s="1">
        <f>IFERROR(__xludf.DUMMYFUNCTION("""COMPUTED_VALUE"""),28.16)</f>
        <v>28.16</v>
      </c>
      <c r="E3363" s="1">
        <f>IFERROR(__xludf.DUMMYFUNCTION("""COMPUTED_VALUE"""),28.87)</f>
        <v>28.87</v>
      </c>
      <c r="F3363" s="1">
        <f>IFERROR(__xludf.DUMMYFUNCTION("""COMPUTED_VALUE"""),240318.0)</f>
        <v>240318</v>
      </c>
    </row>
    <row r="3364">
      <c r="A3364" s="2">
        <f>IFERROR(__xludf.DUMMYFUNCTION("""COMPUTED_VALUE"""),45062.66666666667)</f>
        <v>45062.66667</v>
      </c>
      <c r="B3364" s="1">
        <f>IFERROR(__xludf.DUMMYFUNCTION("""COMPUTED_VALUE"""),29.02)</f>
        <v>29.02</v>
      </c>
      <c r="C3364" s="1">
        <f>IFERROR(__xludf.DUMMYFUNCTION("""COMPUTED_VALUE"""),29.78)</f>
        <v>29.78</v>
      </c>
      <c r="D3364" s="1">
        <f>IFERROR(__xludf.DUMMYFUNCTION("""COMPUTED_VALUE"""),28.52)</f>
        <v>28.52</v>
      </c>
      <c r="E3364" s="1">
        <f>IFERROR(__xludf.DUMMYFUNCTION("""COMPUTED_VALUE"""),28.52)</f>
        <v>28.52</v>
      </c>
      <c r="F3364" s="1">
        <f>IFERROR(__xludf.DUMMYFUNCTION("""COMPUTED_VALUE"""),207791.0)</f>
        <v>207791</v>
      </c>
    </row>
    <row r="3365">
      <c r="A3365" s="2">
        <f>IFERROR(__xludf.DUMMYFUNCTION("""COMPUTED_VALUE"""),45063.66666666667)</f>
        <v>45063.66667</v>
      </c>
      <c r="B3365" s="1">
        <f>IFERROR(__xludf.DUMMYFUNCTION("""COMPUTED_VALUE"""),29.18)</f>
        <v>29.18</v>
      </c>
      <c r="C3365" s="1">
        <f>IFERROR(__xludf.DUMMYFUNCTION("""COMPUTED_VALUE"""),30.78)</f>
        <v>30.78</v>
      </c>
      <c r="D3365" s="1">
        <f>IFERROR(__xludf.DUMMYFUNCTION("""COMPUTED_VALUE"""),28.89)</f>
        <v>28.89</v>
      </c>
      <c r="E3365" s="1">
        <f>IFERROR(__xludf.DUMMYFUNCTION("""COMPUTED_VALUE"""),30.72)</f>
        <v>30.72</v>
      </c>
      <c r="F3365" s="1">
        <f>IFERROR(__xludf.DUMMYFUNCTION("""COMPUTED_VALUE"""),372739.0)</f>
        <v>372739</v>
      </c>
    </row>
    <row r="3366">
      <c r="A3366" s="2">
        <f>IFERROR(__xludf.DUMMYFUNCTION("""COMPUTED_VALUE"""),45064.66666666667)</f>
        <v>45064.66667</v>
      </c>
      <c r="B3366" s="1">
        <f>IFERROR(__xludf.DUMMYFUNCTION("""COMPUTED_VALUE"""),30.58)</f>
        <v>30.58</v>
      </c>
      <c r="C3366" s="1">
        <f>IFERROR(__xludf.DUMMYFUNCTION("""COMPUTED_VALUE"""),31.01)</f>
        <v>31.01</v>
      </c>
      <c r="D3366" s="1">
        <f>IFERROR(__xludf.DUMMYFUNCTION("""COMPUTED_VALUE"""),30.34)</f>
        <v>30.34</v>
      </c>
      <c r="E3366" s="1">
        <f>IFERROR(__xludf.DUMMYFUNCTION("""COMPUTED_VALUE"""),30.83)</f>
        <v>30.83</v>
      </c>
      <c r="F3366" s="1">
        <f>IFERROR(__xludf.DUMMYFUNCTION("""COMPUTED_VALUE"""),272190.0)</f>
        <v>272190</v>
      </c>
    </row>
    <row r="3367">
      <c r="A3367" s="2">
        <f>IFERROR(__xludf.DUMMYFUNCTION("""COMPUTED_VALUE"""),45065.66666666667)</f>
        <v>45065.66667</v>
      </c>
      <c r="B3367" s="1">
        <f>IFERROR(__xludf.DUMMYFUNCTION("""COMPUTED_VALUE"""),31.32)</f>
        <v>31.32</v>
      </c>
      <c r="C3367" s="1">
        <f>IFERROR(__xludf.DUMMYFUNCTION("""COMPUTED_VALUE"""),31.33)</f>
        <v>31.33</v>
      </c>
      <c r="D3367" s="1">
        <f>IFERROR(__xludf.DUMMYFUNCTION("""COMPUTED_VALUE"""),29.71)</f>
        <v>29.71</v>
      </c>
      <c r="E3367" s="1">
        <f>IFERROR(__xludf.DUMMYFUNCTION("""COMPUTED_VALUE"""),30.26)</f>
        <v>30.26</v>
      </c>
      <c r="F3367" s="1">
        <f>IFERROR(__xludf.DUMMYFUNCTION("""COMPUTED_VALUE"""),320906.0)</f>
        <v>320906</v>
      </c>
    </row>
    <row r="3368">
      <c r="A3368" s="2">
        <f>IFERROR(__xludf.DUMMYFUNCTION("""COMPUTED_VALUE"""),45068.66666666667)</f>
        <v>45068.66667</v>
      </c>
      <c r="B3368" s="1">
        <f>IFERROR(__xludf.DUMMYFUNCTION("""COMPUTED_VALUE"""),30.58)</f>
        <v>30.58</v>
      </c>
      <c r="C3368" s="1">
        <f>IFERROR(__xludf.DUMMYFUNCTION("""COMPUTED_VALUE"""),31.19)</f>
        <v>31.19</v>
      </c>
      <c r="D3368" s="1">
        <f>IFERROR(__xludf.DUMMYFUNCTION("""COMPUTED_VALUE"""),30.0)</f>
        <v>30</v>
      </c>
      <c r="E3368" s="1">
        <f>IFERROR(__xludf.DUMMYFUNCTION("""COMPUTED_VALUE"""),31.04)</f>
        <v>31.04</v>
      </c>
      <c r="F3368" s="1">
        <f>IFERROR(__xludf.DUMMYFUNCTION("""COMPUTED_VALUE"""),196876.0)</f>
        <v>196876</v>
      </c>
    </row>
    <row r="3369">
      <c r="A3369" s="2">
        <f>IFERROR(__xludf.DUMMYFUNCTION("""COMPUTED_VALUE"""),45069.66666666667)</f>
        <v>45069.66667</v>
      </c>
      <c r="B3369" s="1">
        <f>IFERROR(__xludf.DUMMYFUNCTION("""COMPUTED_VALUE"""),30.98)</f>
        <v>30.98</v>
      </c>
      <c r="C3369" s="1">
        <f>IFERROR(__xludf.DUMMYFUNCTION("""COMPUTED_VALUE"""),32.27)</f>
        <v>32.27</v>
      </c>
      <c r="D3369" s="1">
        <f>IFERROR(__xludf.DUMMYFUNCTION("""COMPUTED_VALUE"""),30.81)</f>
        <v>30.81</v>
      </c>
      <c r="E3369" s="1">
        <f>IFERROR(__xludf.DUMMYFUNCTION("""COMPUTED_VALUE"""),31.41)</f>
        <v>31.41</v>
      </c>
      <c r="F3369" s="1">
        <f>IFERROR(__xludf.DUMMYFUNCTION("""COMPUTED_VALUE"""),275177.0)</f>
        <v>275177</v>
      </c>
    </row>
    <row r="3370">
      <c r="A3370" s="2">
        <f>IFERROR(__xludf.DUMMYFUNCTION("""COMPUTED_VALUE"""),45070.66666666667)</f>
        <v>45070.66667</v>
      </c>
      <c r="B3370" s="1">
        <f>IFERROR(__xludf.DUMMYFUNCTION("""COMPUTED_VALUE"""),31.12)</f>
        <v>31.12</v>
      </c>
      <c r="C3370" s="1">
        <f>IFERROR(__xludf.DUMMYFUNCTION("""COMPUTED_VALUE"""),31.33)</f>
        <v>31.33</v>
      </c>
      <c r="D3370" s="1">
        <f>IFERROR(__xludf.DUMMYFUNCTION("""COMPUTED_VALUE"""),30.78)</f>
        <v>30.78</v>
      </c>
      <c r="E3370" s="1">
        <f>IFERROR(__xludf.DUMMYFUNCTION("""COMPUTED_VALUE"""),31.17)</f>
        <v>31.17</v>
      </c>
      <c r="F3370" s="1">
        <f>IFERROR(__xludf.DUMMYFUNCTION("""COMPUTED_VALUE"""),290630.0)</f>
        <v>290630</v>
      </c>
    </row>
    <row r="3371">
      <c r="A3371" s="2">
        <f>IFERROR(__xludf.DUMMYFUNCTION("""COMPUTED_VALUE"""),45071.66666666667)</f>
        <v>45071.66667</v>
      </c>
      <c r="B3371" s="1">
        <f>IFERROR(__xludf.DUMMYFUNCTION("""COMPUTED_VALUE"""),30.89)</f>
        <v>30.89</v>
      </c>
      <c r="C3371" s="1">
        <f>IFERROR(__xludf.DUMMYFUNCTION("""COMPUTED_VALUE"""),31.1)</f>
        <v>31.1</v>
      </c>
      <c r="D3371" s="1">
        <f>IFERROR(__xludf.DUMMYFUNCTION("""COMPUTED_VALUE"""),30.32)</f>
        <v>30.32</v>
      </c>
      <c r="E3371" s="1">
        <f>IFERROR(__xludf.DUMMYFUNCTION("""COMPUTED_VALUE"""),30.74)</f>
        <v>30.74</v>
      </c>
      <c r="F3371" s="1">
        <f>IFERROR(__xludf.DUMMYFUNCTION("""COMPUTED_VALUE"""),273998.0)</f>
        <v>273998</v>
      </c>
    </row>
    <row r="3372">
      <c r="A3372" s="2">
        <f>IFERROR(__xludf.DUMMYFUNCTION("""COMPUTED_VALUE"""),45072.66666666667)</f>
        <v>45072.66667</v>
      </c>
      <c r="B3372" s="1">
        <f>IFERROR(__xludf.DUMMYFUNCTION("""COMPUTED_VALUE"""),30.35)</f>
        <v>30.35</v>
      </c>
      <c r="C3372" s="1">
        <f>IFERROR(__xludf.DUMMYFUNCTION("""COMPUTED_VALUE"""),30.92)</f>
        <v>30.92</v>
      </c>
      <c r="D3372" s="1">
        <f>IFERROR(__xludf.DUMMYFUNCTION("""COMPUTED_VALUE"""),29.81)</f>
        <v>29.81</v>
      </c>
      <c r="E3372" s="1">
        <f>IFERROR(__xludf.DUMMYFUNCTION("""COMPUTED_VALUE"""),30.86)</f>
        <v>30.86</v>
      </c>
      <c r="F3372" s="1">
        <f>IFERROR(__xludf.DUMMYFUNCTION("""COMPUTED_VALUE"""),234173.0)</f>
        <v>234173</v>
      </c>
    </row>
    <row r="3373">
      <c r="A3373" s="2">
        <f>IFERROR(__xludf.DUMMYFUNCTION("""COMPUTED_VALUE"""),45076.66666666667)</f>
        <v>45076.66667</v>
      </c>
      <c r="B3373" s="1">
        <f>IFERROR(__xludf.DUMMYFUNCTION("""COMPUTED_VALUE"""),30.91)</f>
        <v>30.91</v>
      </c>
      <c r="C3373" s="1">
        <f>IFERROR(__xludf.DUMMYFUNCTION("""COMPUTED_VALUE"""),30.95)</f>
        <v>30.95</v>
      </c>
      <c r="D3373" s="1">
        <f>IFERROR(__xludf.DUMMYFUNCTION("""COMPUTED_VALUE"""),30.26)</f>
        <v>30.26</v>
      </c>
      <c r="E3373" s="1">
        <f>IFERROR(__xludf.DUMMYFUNCTION("""COMPUTED_VALUE"""),30.61)</f>
        <v>30.61</v>
      </c>
      <c r="F3373" s="1">
        <f>IFERROR(__xludf.DUMMYFUNCTION("""COMPUTED_VALUE"""),238629.0)</f>
        <v>238629</v>
      </c>
    </row>
    <row r="3374">
      <c r="A3374" s="2">
        <f>IFERROR(__xludf.DUMMYFUNCTION("""COMPUTED_VALUE"""),45077.66666666667)</f>
        <v>45077.66667</v>
      </c>
      <c r="B3374" s="1">
        <f>IFERROR(__xludf.DUMMYFUNCTION("""COMPUTED_VALUE"""),30.4)</f>
        <v>30.4</v>
      </c>
      <c r="C3374" s="1">
        <f>IFERROR(__xludf.DUMMYFUNCTION("""COMPUTED_VALUE"""),30.61)</f>
        <v>30.61</v>
      </c>
      <c r="D3374" s="1">
        <f>IFERROR(__xludf.DUMMYFUNCTION("""COMPUTED_VALUE"""),28.95)</f>
        <v>28.95</v>
      </c>
      <c r="E3374" s="1">
        <f>IFERROR(__xludf.DUMMYFUNCTION("""COMPUTED_VALUE"""),29.24)</f>
        <v>29.24</v>
      </c>
      <c r="F3374" s="1">
        <f>IFERROR(__xludf.DUMMYFUNCTION("""COMPUTED_VALUE"""),441123.0)</f>
        <v>441123</v>
      </c>
    </row>
    <row r="3375">
      <c r="A3375" s="2">
        <f>IFERROR(__xludf.DUMMYFUNCTION("""COMPUTED_VALUE"""),45078.66666666667)</f>
        <v>45078.66667</v>
      </c>
      <c r="B3375" s="1">
        <f>IFERROR(__xludf.DUMMYFUNCTION("""COMPUTED_VALUE"""),29.51)</f>
        <v>29.51</v>
      </c>
      <c r="C3375" s="1">
        <f>IFERROR(__xludf.DUMMYFUNCTION("""COMPUTED_VALUE"""),30.47)</f>
        <v>30.47</v>
      </c>
      <c r="D3375" s="1">
        <f>IFERROR(__xludf.DUMMYFUNCTION("""COMPUTED_VALUE"""),29.08)</f>
        <v>29.08</v>
      </c>
      <c r="E3375" s="1">
        <f>IFERROR(__xludf.DUMMYFUNCTION("""COMPUTED_VALUE"""),30.09)</f>
        <v>30.09</v>
      </c>
      <c r="F3375" s="1">
        <f>IFERROR(__xludf.DUMMYFUNCTION("""COMPUTED_VALUE"""),204903.0)</f>
        <v>204903</v>
      </c>
    </row>
    <row r="3376">
      <c r="A3376" s="2">
        <f>IFERROR(__xludf.DUMMYFUNCTION("""COMPUTED_VALUE"""),45079.66666666667)</f>
        <v>45079.66667</v>
      </c>
      <c r="B3376" s="1">
        <f>IFERROR(__xludf.DUMMYFUNCTION("""COMPUTED_VALUE"""),30.74)</f>
        <v>30.74</v>
      </c>
      <c r="C3376" s="1">
        <f>IFERROR(__xludf.DUMMYFUNCTION("""COMPUTED_VALUE"""),32.38)</f>
        <v>32.38</v>
      </c>
      <c r="D3376" s="1">
        <f>IFERROR(__xludf.DUMMYFUNCTION("""COMPUTED_VALUE"""),30.43)</f>
        <v>30.43</v>
      </c>
      <c r="E3376" s="1">
        <f>IFERROR(__xludf.DUMMYFUNCTION("""COMPUTED_VALUE"""),32.24)</f>
        <v>32.24</v>
      </c>
      <c r="F3376" s="1">
        <f>IFERROR(__xludf.DUMMYFUNCTION("""COMPUTED_VALUE"""),315640.0)</f>
        <v>315640</v>
      </c>
    </row>
    <row r="3377">
      <c r="A3377" s="2">
        <f>IFERROR(__xludf.DUMMYFUNCTION("""COMPUTED_VALUE"""),45082.66666666667)</f>
        <v>45082.66667</v>
      </c>
      <c r="B3377" s="1">
        <f>IFERROR(__xludf.DUMMYFUNCTION("""COMPUTED_VALUE"""),31.97)</f>
        <v>31.97</v>
      </c>
      <c r="C3377" s="1">
        <f>IFERROR(__xludf.DUMMYFUNCTION("""COMPUTED_VALUE"""),31.97)</f>
        <v>31.97</v>
      </c>
      <c r="D3377" s="1">
        <f>IFERROR(__xludf.DUMMYFUNCTION("""COMPUTED_VALUE"""),30.83)</f>
        <v>30.83</v>
      </c>
      <c r="E3377" s="1">
        <f>IFERROR(__xludf.DUMMYFUNCTION("""COMPUTED_VALUE"""),31.11)</f>
        <v>31.11</v>
      </c>
      <c r="F3377" s="1">
        <f>IFERROR(__xludf.DUMMYFUNCTION("""COMPUTED_VALUE"""),318775.0)</f>
        <v>318775</v>
      </c>
    </row>
    <row r="3378">
      <c r="A3378" s="2">
        <f>IFERROR(__xludf.DUMMYFUNCTION("""COMPUTED_VALUE"""),45083.66666666667)</f>
        <v>45083.66667</v>
      </c>
      <c r="B3378" s="1">
        <f>IFERROR(__xludf.DUMMYFUNCTION("""COMPUTED_VALUE"""),31.15)</f>
        <v>31.15</v>
      </c>
      <c r="C3378" s="1">
        <f>IFERROR(__xludf.DUMMYFUNCTION("""COMPUTED_VALUE"""),33.83)</f>
        <v>33.83</v>
      </c>
      <c r="D3378" s="1">
        <f>IFERROR(__xludf.DUMMYFUNCTION("""COMPUTED_VALUE"""),31.15)</f>
        <v>31.15</v>
      </c>
      <c r="E3378" s="1">
        <f>IFERROR(__xludf.DUMMYFUNCTION("""COMPUTED_VALUE"""),33.32)</f>
        <v>33.32</v>
      </c>
      <c r="F3378" s="1">
        <f>IFERROR(__xludf.DUMMYFUNCTION("""COMPUTED_VALUE"""),366950.0)</f>
        <v>366950</v>
      </c>
    </row>
    <row r="3379">
      <c r="A3379" s="2">
        <f>IFERROR(__xludf.DUMMYFUNCTION("""COMPUTED_VALUE"""),45084.66666666667)</f>
        <v>45084.66667</v>
      </c>
      <c r="B3379" s="1">
        <f>IFERROR(__xludf.DUMMYFUNCTION("""COMPUTED_VALUE"""),33.67)</f>
        <v>33.67</v>
      </c>
      <c r="C3379" s="1">
        <f>IFERROR(__xludf.DUMMYFUNCTION("""COMPUTED_VALUE"""),34.94)</f>
        <v>34.94</v>
      </c>
      <c r="D3379" s="1">
        <f>IFERROR(__xludf.DUMMYFUNCTION("""COMPUTED_VALUE"""),33.41)</f>
        <v>33.41</v>
      </c>
      <c r="E3379" s="1">
        <f>IFERROR(__xludf.DUMMYFUNCTION("""COMPUTED_VALUE"""),34.53)</f>
        <v>34.53</v>
      </c>
      <c r="F3379" s="1">
        <f>IFERROR(__xludf.DUMMYFUNCTION("""COMPUTED_VALUE"""),365793.0)</f>
        <v>365793</v>
      </c>
    </row>
    <row r="3380">
      <c r="A3380" s="2">
        <f>IFERROR(__xludf.DUMMYFUNCTION("""COMPUTED_VALUE"""),45085.66666666667)</f>
        <v>45085.66667</v>
      </c>
      <c r="B3380" s="1">
        <f>IFERROR(__xludf.DUMMYFUNCTION("""COMPUTED_VALUE"""),34.07)</f>
        <v>34.07</v>
      </c>
      <c r="C3380" s="1">
        <f>IFERROR(__xludf.DUMMYFUNCTION("""COMPUTED_VALUE"""),34.35)</f>
        <v>34.35</v>
      </c>
      <c r="D3380" s="1">
        <f>IFERROR(__xludf.DUMMYFUNCTION("""COMPUTED_VALUE"""),33.58)</f>
        <v>33.58</v>
      </c>
      <c r="E3380" s="1">
        <f>IFERROR(__xludf.DUMMYFUNCTION("""COMPUTED_VALUE"""),34.25)</f>
        <v>34.25</v>
      </c>
      <c r="F3380" s="1">
        <f>IFERROR(__xludf.DUMMYFUNCTION("""COMPUTED_VALUE"""),313875.0)</f>
        <v>313875</v>
      </c>
    </row>
    <row r="3381">
      <c r="A3381" s="2">
        <f>IFERROR(__xludf.DUMMYFUNCTION("""COMPUTED_VALUE"""),45086.66666666667)</f>
        <v>45086.66667</v>
      </c>
      <c r="B3381" s="1">
        <f>IFERROR(__xludf.DUMMYFUNCTION("""COMPUTED_VALUE"""),34.17)</f>
        <v>34.17</v>
      </c>
      <c r="C3381" s="1">
        <f>IFERROR(__xludf.DUMMYFUNCTION("""COMPUTED_VALUE"""),34.41)</f>
        <v>34.41</v>
      </c>
      <c r="D3381" s="1">
        <f>IFERROR(__xludf.DUMMYFUNCTION("""COMPUTED_VALUE"""),33.78)</f>
        <v>33.78</v>
      </c>
      <c r="E3381" s="1">
        <f>IFERROR(__xludf.DUMMYFUNCTION("""COMPUTED_VALUE"""),34.21)</f>
        <v>34.21</v>
      </c>
      <c r="F3381" s="1">
        <f>IFERROR(__xludf.DUMMYFUNCTION("""COMPUTED_VALUE"""),389010.0)</f>
        <v>389010</v>
      </c>
    </row>
    <row r="3382">
      <c r="A3382" s="2">
        <f>IFERROR(__xludf.DUMMYFUNCTION("""COMPUTED_VALUE"""),45089.66666666667)</f>
        <v>45089.66667</v>
      </c>
      <c r="B3382" s="1">
        <f>IFERROR(__xludf.DUMMYFUNCTION("""COMPUTED_VALUE"""),34.22)</f>
        <v>34.22</v>
      </c>
      <c r="C3382" s="1">
        <f>IFERROR(__xludf.DUMMYFUNCTION("""COMPUTED_VALUE"""),34.9)</f>
        <v>34.9</v>
      </c>
      <c r="D3382" s="1">
        <f>IFERROR(__xludf.DUMMYFUNCTION("""COMPUTED_VALUE"""),33.56)</f>
        <v>33.56</v>
      </c>
      <c r="E3382" s="1">
        <f>IFERROR(__xludf.DUMMYFUNCTION("""COMPUTED_VALUE"""),33.94)</f>
        <v>33.94</v>
      </c>
      <c r="F3382" s="1">
        <f>IFERROR(__xludf.DUMMYFUNCTION("""COMPUTED_VALUE"""),285178.0)</f>
        <v>285178</v>
      </c>
    </row>
    <row r="3383">
      <c r="A3383" s="2">
        <f>IFERROR(__xludf.DUMMYFUNCTION("""COMPUTED_VALUE"""),45090.66666666667)</f>
        <v>45090.66667</v>
      </c>
      <c r="B3383" s="1">
        <f>IFERROR(__xludf.DUMMYFUNCTION("""COMPUTED_VALUE"""),34.02)</f>
        <v>34.02</v>
      </c>
      <c r="C3383" s="1">
        <f>IFERROR(__xludf.DUMMYFUNCTION("""COMPUTED_VALUE"""),35.21)</f>
        <v>35.21</v>
      </c>
      <c r="D3383" s="1">
        <f>IFERROR(__xludf.DUMMYFUNCTION("""COMPUTED_VALUE"""),33.83)</f>
        <v>33.83</v>
      </c>
      <c r="E3383" s="1">
        <f>IFERROR(__xludf.DUMMYFUNCTION("""COMPUTED_VALUE"""),35.02)</f>
        <v>35.02</v>
      </c>
      <c r="F3383" s="1">
        <f>IFERROR(__xludf.DUMMYFUNCTION("""COMPUTED_VALUE"""),278004.0)</f>
        <v>278004</v>
      </c>
    </row>
    <row r="3384">
      <c r="A3384" s="2">
        <f>IFERROR(__xludf.DUMMYFUNCTION("""COMPUTED_VALUE"""),45091.66666666667)</f>
        <v>45091.66667</v>
      </c>
      <c r="B3384" s="1">
        <f>IFERROR(__xludf.DUMMYFUNCTION("""COMPUTED_VALUE"""),35.02)</f>
        <v>35.02</v>
      </c>
      <c r="C3384" s="1">
        <f>IFERROR(__xludf.DUMMYFUNCTION("""COMPUTED_VALUE"""),35.31)</f>
        <v>35.31</v>
      </c>
      <c r="D3384" s="1">
        <f>IFERROR(__xludf.DUMMYFUNCTION("""COMPUTED_VALUE"""),33.73)</f>
        <v>33.73</v>
      </c>
      <c r="E3384" s="1">
        <f>IFERROR(__xludf.DUMMYFUNCTION("""COMPUTED_VALUE"""),33.91)</f>
        <v>33.91</v>
      </c>
      <c r="F3384" s="1">
        <f>IFERROR(__xludf.DUMMYFUNCTION("""COMPUTED_VALUE"""),327903.0)</f>
        <v>327903</v>
      </c>
    </row>
    <row r="3385">
      <c r="A3385" s="2">
        <f>IFERROR(__xludf.DUMMYFUNCTION("""COMPUTED_VALUE"""),45092.66666666667)</f>
        <v>45092.66667</v>
      </c>
      <c r="B3385" s="1">
        <f>IFERROR(__xludf.DUMMYFUNCTION("""COMPUTED_VALUE"""),33.65)</f>
        <v>33.65</v>
      </c>
      <c r="C3385" s="1">
        <f>IFERROR(__xludf.DUMMYFUNCTION("""COMPUTED_VALUE"""),34.61)</f>
        <v>34.61</v>
      </c>
      <c r="D3385" s="1">
        <f>IFERROR(__xludf.DUMMYFUNCTION("""COMPUTED_VALUE"""),33.65)</f>
        <v>33.65</v>
      </c>
      <c r="E3385" s="1">
        <f>IFERROR(__xludf.DUMMYFUNCTION("""COMPUTED_VALUE"""),34.56)</f>
        <v>34.56</v>
      </c>
      <c r="F3385" s="1">
        <f>IFERROR(__xludf.DUMMYFUNCTION("""COMPUTED_VALUE"""),305996.0)</f>
        <v>305996</v>
      </c>
    </row>
    <row r="3386">
      <c r="A3386" s="2">
        <f>IFERROR(__xludf.DUMMYFUNCTION("""COMPUTED_VALUE"""),45093.66666666667)</f>
        <v>45093.66667</v>
      </c>
      <c r="B3386" s="1">
        <f>IFERROR(__xludf.DUMMYFUNCTION("""COMPUTED_VALUE"""),34.82)</f>
        <v>34.82</v>
      </c>
      <c r="C3386" s="1">
        <f>IFERROR(__xludf.DUMMYFUNCTION("""COMPUTED_VALUE"""),34.82)</f>
        <v>34.82</v>
      </c>
      <c r="D3386" s="1">
        <f>IFERROR(__xludf.DUMMYFUNCTION("""COMPUTED_VALUE"""),33.56)</f>
        <v>33.56</v>
      </c>
      <c r="E3386" s="1">
        <f>IFERROR(__xludf.DUMMYFUNCTION("""COMPUTED_VALUE"""),34.02)</f>
        <v>34.02</v>
      </c>
      <c r="F3386" s="1">
        <f>IFERROR(__xludf.DUMMYFUNCTION("""COMPUTED_VALUE"""),801840.0)</f>
        <v>801840</v>
      </c>
    </row>
    <row r="3387">
      <c r="A3387" s="2">
        <f>IFERROR(__xludf.DUMMYFUNCTION("""COMPUTED_VALUE"""),45097.66666666667)</f>
        <v>45097.66667</v>
      </c>
      <c r="B3387" s="1">
        <f>IFERROR(__xludf.DUMMYFUNCTION("""COMPUTED_VALUE"""),33.86)</f>
        <v>33.86</v>
      </c>
      <c r="C3387" s="1">
        <f>IFERROR(__xludf.DUMMYFUNCTION("""COMPUTED_VALUE"""),34.16)</f>
        <v>34.16</v>
      </c>
      <c r="D3387" s="1">
        <f>IFERROR(__xludf.DUMMYFUNCTION("""COMPUTED_VALUE"""),33.44)</f>
        <v>33.44</v>
      </c>
      <c r="E3387" s="1">
        <f>IFERROR(__xludf.DUMMYFUNCTION("""COMPUTED_VALUE"""),33.65)</f>
        <v>33.65</v>
      </c>
      <c r="F3387" s="1">
        <f>IFERROR(__xludf.DUMMYFUNCTION("""COMPUTED_VALUE"""),245195.0)</f>
        <v>245195</v>
      </c>
    </row>
    <row r="3388">
      <c r="A3388" s="2">
        <f>IFERROR(__xludf.DUMMYFUNCTION("""COMPUTED_VALUE"""),45098.66666666667)</f>
        <v>45098.66667</v>
      </c>
      <c r="B3388" s="1">
        <f>IFERROR(__xludf.DUMMYFUNCTION("""COMPUTED_VALUE"""),33.46)</f>
        <v>33.46</v>
      </c>
      <c r="C3388" s="1">
        <f>IFERROR(__xludf.DUMMYFUNCTION("""COMPUTED_VALUE"""),33.46)</f>
        <v>33.46</v>
      </c>
      <c r="D3388" s="1">
        <f>IFERROR(__xludf.DUMMYFUNCTION("""COMPUTED_VALUE"""),32.62)</f>
        <v>32.62</v>
      </c>
      <c r="E3388" s="1">
        <f>IFERROR(__xludf.DUMMYFUNCTION("""COMPUTED_VALUE"""),32.66)</f>
        <v>32.66</v>
      </c>
      <c r="F3388" s="1">
        <f>IFERROR(__xludf.DUMMYFUNCTION("""COMPUTED_VALUE"""),247771.0)</f>
        <v>247771</v>
      </c>
    </row>
    <row r="3389">
      <c r="A3389" s="2">
        <f>IFERROR(__xludf.DUMMYFUNCTION("""COMPUTED_VALUE"""),45099.66666666667)</f>
        <v>45099.66667</v>
      </c>
      <c r="B3389" s="1">
        <f>IFERROR(__xludf.DUMMYFUNCTION("""COMPUTED_VALUE"""),32.51)</f>
        <v>32.51</v>
      </c>
      <c r="C3389" s="1">
        <f>IFERROR(__xludf.DUMMYFUNCTION("""COMPUTED_VALUE"""),32.51)</f>
        <v>32.51</v>
      </c>
      <c r="D3389" s="1">
        <f>IFERROR(__xludf.DUMMYFUNCTION("""COMPUTED_VALUE"""),31.32)</f>
        <v>31.32</v>
      </c>
      <c r="E3389" s="1">
        <f>IFERROR(__xludf.DUMMYFUNCTION("""COMPUTED_VALUE"""),31.56)</f>
        <v>31.56</v>
      </c>
      <c r="F3389" s="1">
        <f>IFERROR(__xludf.DUMMYFUNCTION("""COMPUTED_VALUE"""),325133.0)</f>
        <v>325133</v>
      </c>
    </row>
    <row r="3390">
      <c r="A3390" s="2">
        <f>IFERROR(__xludf.DUMMYFUNCTION("""COMPUTED_VALUE"""),45100.66666666667)</f>
        <v>45100.66667</v>
      </c>
      <c r="B3390" s="1">
        <f>IFERROR(__xludf.DUMMYFUNCTION("""COMPUTED_VALUE"""),31.15)</f>
        <v>31.15</v>
      </c>
      <c r="C3390" s="1">
        <f>IFERROR(__xludf.DUMMYFUNCTION("""COMPUTED_VALUE"""),31.89)</f>
        <v>31.89</v>
      </c>
      <c r="D3390" s="1">
        <f>IFERROR(__xludf.DUMMYFUNCTION("""COMPUTED_VALUE"""),31.0)</f>
        <v>31</v>
      </c>
      <c r="E3390" s="1">
        <f>IFERROR(__xludf.DUMMYFUNCTION("""COMPUTED_VALUE"""),31.49)</f>
        <v>31.49</v>
      </c>
      <c r="F3390" s="1">
        <f>IFERROR(__xludf.DUMMYFUNCTION("""COMPUTED_VALUE"""),666384.0)</f>
        <v>666384</v>
      </c>
    </row>
    <row r="3391">
      <c r="A3391" s="2">
        <f>IFERROR(__xludf.DUMMYFUNCTION("""COMPUTED_VALUE"""),45103.66666666667)</f>
        <v>45103.66667</v>
      </c>
      <c r="B3391" s="1">
        <f>IFERROR(__xludf.DUMMYFUNCTION("""COMPUTED_VALUE"""),31.61)</f>
        <v>31.61</v>
      </c>
      <c r="C3391" s="1">
        <f>IFERROR(__xludf.DUMMYFUNCTION("""COMPUTED_VALUE"""),32.24)</f>
        <v>32.24</v>
      </c>
      <c r="D3391" s="1">
        <f>IFERROR(__xludf.DUMMYFUNCTION("""COMPUTED_VALUE"""),31.61)</f>
        <v>31.61</v>
      </c>
      <c r="E3391" s="1">
        <f>IFERROR(__xludf.DUMMYFUNCTION("""COMPUTED_VALUE"""),31.91)</f>
        <v>31.91</v>
      </c>
      <c r="F3391" s="1">
        <f>IFERROR(__xludf.DUMMYFUNCTION("""COMPUTED_VALUE"""),330554.0)</f>
        <v>330554</v>
      </c>
    </row>
    <row r="3392">
      <c r="A3392" s="2">
        <f>IFERROR(__xludf.DUMMYFUNCTION("""COMPUTED_VALUE"""),45104.66666666667)</f>
        <v>45104.66667</v>
      </c>
      <c r="B3392" s="1">
        <f>IFERROR(__xludf.DUMMYFUNCTION("""COMPUTED_VALUE"""),31.95)</f>
        <v>31.95</v>
      </c>
      <c r="C3392" s="1">
        <f>IFERROR(__xludf.DUMMYFUNCTION("""COMPUTED_VALUE"""),32.61)</f>
        <v>32.61</v>
      </c>
      <c r="D3392" s="1">
        <f>IFERROR(__xludf.DUMMYFUNCTION("""COMPUTED_VALUE"""),31.59)</f>
        <v>31.59</v>
      </c>
      <c r="E3392" s="1">
        <f>IFERROR(__xludf.DUMMYFUNCTION("""COMPUTED_VALUE"""),32.27)</f>
        <v>32.27</v>
      </c>
      <c r="F3392" s="1">
        <f>IFERROR(__xludf.DUMMYFUNCTION("""COMPUTED_VALUE"""),289264.0)</f>
        <v>289264</v>
      </c>
    </row>
    <row r="3393">
      <c r="A3393" s="2">
        <f>IFERROR(__xludf.DUMMYFUNCTION("""COMPUTED_VALUE"""),45105.66666666667)</f>
        <v>45105.66667</v>
      </c>
      <c r="B3393" s="1">
        <f>IFERROR(__xludf.DUMMYFUNCTION("""COMPUTED_VALUE"""),32.17)</f>
        <v>32.17</v>
      </c>
      <c r="C3393" s="1">
        <f>IFERROR(__xludf.DUMMYFUNCTION("""COMPUTED_VALUE"""),32.27)</f>
        <v>32.27</v>
      </c>
      <c r="D3393" s="1">
        <f>IFERROR(__xludf.DUMMYFUNCTION("""COMPUTED_VALUE"""),31.7)</f>
        <v>31.7</v>
      </c>
      <c r="E3393" s="1">
        <f>IFERROR(__xludf.DUMMYFUNCTION("""COMPUTED_VALUE"""),32.0)</f>
        <v>32</v>
      </c>
      <c r="F3393" s="1">
        <f>IFERROR(__xludf.DUMMYFUNCTION("""COMPUTED_VALUE"""),260452.0)</f>
        <v>260452</v>
      </c>
    </row>
    <row r="3394">
      <c r="A3394" s="2">
        <f>IFERROR(__xludf.DUMMYFUNCTION("""COMPUTED_VALUE"""),45106.66666666667)</f>
        <v>45106.66667</v>
      </c>
      <c r="B3394" s="1">
        <f>IFERROR(__xludf.DUMMYFUNCTION("""COMPUTED_VALUE"""),32.28)</f>
        <v>32.28</v>
      </c>
      <c r="C3394" s="1">
        <f>IFERROR(__xludf.DUMMYFUNCTION("""COMPUTED_VALUE"""),32.91)</f>
        <v>32.91</v>
      </c>
      <c r="D3394" s="1">
        <f>IFERROR(__xludf.DUMMYFUNCTION("""COMPUTED_VALUE"""),32.2)</f>
        <v>32.2</v>
      </c>
      <c r="E3394" s="1">
        <f>IFERROR(__xludf.DUMMYFUNCTION("""COMPUTED_VALUE"""),32.66)</f>
        <v>32.66</v>
      </c>
      <c r="F3394" s="1">
        <f>IFERROR(__xludf.DUMMYFUNCTION("""COMPUTED_VALUE"""),281730.0)</f>
        <v>281730</v>
      </c>
    </row>
    <row r="3395">
      <c r="A3395" s="2">
        <f>IFERROR(__xludf.DUMMYFUNCTION("""COMPUTED_VALUE"""),45107.66666666667)</f>
        <v>45107.66667</v>
      </c>
      <c r="B3395" s="1">
        <f>IFERROR(__xludf.DUMMYFUNCTION("""COMPUTED_VALUE"""),32.98)</f>
        <v>32.98</v>
      </c>
      <c r="C3395" s="1">
        <f>IFERROR(__xludf.DUMMYFUNCTION("""COMPUTED_VALUE"""),33.05)</f>
        <v>33.05</v>
      </c>
      <c r="D3395" s="1">
        <f>IFERROR(__xludf.DUMMYFUNCTION("""COMPUTED_VALUE"""),32.17)</f>
        <v>32.17</v>
      </c>
      <c r="E3395" s="1">
        <f>IFERROR(__xludf.DUMMYFUNCTION("""COMPUTED_VALUE"""),32.19)</f>
        <v>32.19</v>
      </c>
      <c r="F3395" s="1">
        <f>IFERROR(__xludf.DUMMYFUNCTION("""COMPUTED_VALUE"""),358300.0)</f>
        <v>358300</v>
      </c>
    </row>
    <row r="3396">
      <c r="A3396" s="2">
        <f>IFERROR(__xludf.DUMMYFUNCTION("""COMPUTED_VALUE"""),45110.54513888889)</f>
        <v>45110.54514</v>
      </c>
      <c r="B3396" s="1">
        <f>IFERROR(__xludf.DUMMYFUNCTION("""COMPUTED_VALUE"""),32.13)</f>
        <v>32.13</v>
      </c>
      <c r="C3396" s="1">
        <f>IFERROR(__xludf.DUMMYFUNCTION("""COMPUTED_VALUE"""),32.99)</f>
        <v>32.99</v>
      </c>
      <c r="D3396" s="1">
        <f>IFERROR(__xludf.DUMMYFUNCTION("""COMPUTED_VALUE"""),31.99)</f>
        <v>31.99</v>
      </c>
      <c r="E3396" s="1">
        <f>IFERROR(__xludf.DUMMYFUNCTION("""COMPUTED_VALUE"""),32.76)</f>
        <v>32.76</v>
      </c>
      <c r="F3396" s="1">
        <f>IFERROR(__xludf.DUMMYFUNCTION("""COMPUTED_VALUE"""),231286.0)</f>
        <v>231286</v>
      </c>
    </row>
    <row r="3397">
      <c r="A3397" s="2">
        <f>IFERROR(__xludf.DUMMYFUNCTION("""COMPUTED_VALUE"""),45112.66666666667)</f>
        <v>45112.66667</v>
      </c>
      <c r="B3397" s="1">
        <f>IFERROR(__xludf.DUMMYFUNCTION("""COMPUTED_VALUE"""),32.51)</f>
        <v>32.51</v>
      </c>
      <c r="C3397" s="1">
        <f>IFERROR(__xludf.DUMMYFUNCTION("""COMPUTED_VALUE"""),32.99)</f>
        <v>32.99</v>
      </c>
      <c r="D3397" s="1">
        <f>IFERROR(__xludf.DUMMYFUNCTION("""COMPUTED_VALUE"""),31.95)</f>
        <v>31.95</v>
      </c>
      <c r="E3397" s="1">
        <f>IFERROR(__xludf.DUMMYFUNCTION("""COMPUTED_VALUE"""),32.52)</f>
        <v>32.52</v>
      </c>
      <c r="F3397" s="1">
        <f>IFERROR(__xludf.DUMMYFUNCTION("""COMPUTED_VALUE"""),315858.0)</f>
        <v>315858</v>
      </c>
    </row>
    <row r="3398">
      <c r="A3398" s="2">
        <f>IFERROR(__xludf.DUMMYFUNCTION("""COMPUTED_VALUE"""),45113.66666666667)</f>
        <v>45113.66667</v>
      </c>
      <c r="B3398" s="1">
        <f>IFERROR(__xludf.DUMMYFUNCTION("""COMPUTED_VALUE"""),32.06)</f>
        <v>32.06</v>
      </c>
      <c r="C3398" s="1">
        <f>IFERROR(__xludf.DUMMYFUNCTION("""COMPUTED_VALUE"""),32.08)</f>
        <v>32.08</v>
      </c>
      <c r="D3398" s="1">
        <f>IFERROR(__xludf.DUMMYFUNCTION("""COMPUTED_VALUE"""),31.47)</f>
        <v>31.47</v>
      </c>
      <c r="E3398" s="1">
        <f>IFERROR(__xludf.DUMMYFUNCTION("""COMPUTED_VALUE"""),31.98)</f>
        <v>31.98</v>
      </c>
      <c r="F3398" s="1">
        <f>IFERROR(__xludf.DUMMYFUNCTION("""COMPUTED_VALUE"""),281236.0)</f>
        <v>281236</v>
      </c>
    </row>
    <row r="3399">
      <c r="A3399" s="2">
        <f>IFERROR(__xludf.DUMMYFUNCTION("""COMPUTED_VALUE"""),45114.66666666667)</f>
        <v>45114.66667</v>
      </c>
      <c r="B3399" s="1">
        <f>IFERROR(__xludf.DUMMYFUNCTION("""COMPUTED_VALUE"""),32.03)</f>
        <v>32.03</v>
      </c>
      <c r="C3399" s="1">
        <f>IFERROR(__xludf.DUMMYFUNCTION("""COMPUTED_VALUE"""),33.21)</f>
        <v>33.21</v>
      </c>
      <c r="D3399" s="1">
        <f>IFERROR(__xludf.DUMMYFUNCTION("""COMPUTED_VALUE"""),32.03)</f>
        <v>32.03</v>
      </c>
      <c r="E3399" s="1">
        <f>IFERROR(__xludf.DUMMYFUNCTION("""COMPUTED_VALUE"""),32.97)</f>
        <v>32.97</v>
      </c>
      <c r="F3399" s="1">
        <f>IFERROR(__xludf.DUMMYFUNCTION("""COMPUTED_VALUE"""),278753.0)</f>
        <v>278753</v>
      </c>
    </row>
    <row r="3400">
      <c r="A3400" s="2">
        <f>IFERROR(__xludf.DUMMYFUNCTION("""COMPUTED_VALUE"""),45117.66666666667)</f>
        <v>45117.66667</v>
      </c>
      <c r="B3400" s="1">
        <f>IFERROR(__xludf.DUMMYFUNCTION("""COMPUTED_VALUE"""),32.83)</f>
        <v>32.83</v>
      </c>
      <c r="C3400" s="1">
        <f>IFERROR(__xludf.DUMMYFUNCTION("""COMPUTED_VALUE"""),33.7)</f>
        <v>33.7</v>
      </c>
      <c r="D3400" s="1">
        <f>IFERROR(__xludf.DUMMYFUNCTION("""COMPUTED_VALUE"""),32.83)</f>
        <v>32.83</v>
      </c>
      <c r="E3400" s="1">
        <f>IFERROR(__xludf.DUMMYFUNCTION("""COMPUTED_VALUE"""),33.16)</f>
        <v>33.16</v>
      </c>
      <c r="F3400" s="1">
        <f>IFERROR(__xludf.DUMMYFUNCTION("""COMPUTED_VALUE"""),242436.0)</f>
        <v>242436</v>
      </c>
    </row>
    <row r="3401">
      <c r="A3401" s="2">
        <f>IFERROR(__xludf.DUMMYFUNCTION("""COMPUTED_VALUE"""),45118.66666666667)</f>
        <v>45118.66667</v>
      </c>
      <c r="B3401" s="1">
        <f>IFERROR(__xludf.DUMMYFUNCTION("""COMPUTED_VALUE"""),33.23)</f>
        <v>33.23</v>
      </c>
      <c r="C3401" s="1">
        <f>IFERROR(__xludf.DUMMYFUNCTION("""COMPUTED_VALUE"""),33.55)</f>
        <v>33.55</v>
      </c>
      <c r="D3401" s="1">
        <f>IFERROR(__xludf.DUMMYFUNCTION("""COMPUTED_VALUE"""),32.93)</f>
        <v>32.93</v>
      </c>
      <c r="E3401" s="1">
        <f>IFERROR(__xludf.DUMMYFUNCTION("""COMPUTED_VALUE"""),33.45)</f>
        <v>33.45</v>
      </c>
      <c r="F3401" s="1">
        <f>IFERROR(__xludf.DUMMYFUNCTION("""COMPUTED_VALUE"""),214063.0)</f>
        <v>214063</v>
      </c>
    </row>
    <row r="3402">
      <c r="A3402" s="2">
        <f>IFERROR(__xludf.DUMMYFUNCTION("""COMPUTED_VALUE"""),45119.66666666667)</f>
        <v>45119.66667</v>
      </c>
      <c r="B3402" s="1">
        <f>IFERROR(__xludf.DUMMYFUNCTION("""COMPUTED_VALUE"""),34.17)</f>
        <v>34.17</v>
      </c>
      <c r="C3402" s="1">
        <f>IFERROR(__xludf.DUMMYFUNCTION("""COMPUTED_VALUE"""),34.51)</f>
        <v>34.51</v>
      </c>
      <c r="D3402" s="1">
        <f>IFERROR(__xludf.DUMMYFUNCTION("""COMPUTED_VALUE"""),33.9)</f>
        <v>33.9</v>
      </c>
      <c r="E3402" s="1">
        <f>IFERROR(__xludf.DUMMYFUNCTION("""COMPUTED_VALUE"""),34.02)</f>
        <v>34.02</v>
      </c>
      <c r="F3402" s="1">
        <f>IFERROR(__xludf.DUMMYFUNCTION("""COMPUTED_VALUE"""),252053.0)</f>
        <v>252053</v>
      </c>
    </row>
    <row r="3403">
      <c r="A3403" s="2">
        <f>IFERROR(__xludf.DUMMYFUNCTION("""COMPUTED_VALUE"""),45120.66666666667)</f>
        <v>45120.66667</v>
      </c>
      <c r="B3403" s="1">
        <f>IFERROR(__xludf.DUMMYFUNCTION("""COMPUTED_VALUE"""),34.2)</f>
        <v>34.2</v>
      </c>
      <c r="C3403" s="1">
        <f>IFERROR(__xludf.DUMMYFUNCTION("""COMPUTED_VALUE"""),34.83)</f>
        <v>34.83</v>
      </c>
      <c r="D3403" s="1">
        <f>IFERROR(__xludf.DUMMYFUNCTION("""COMPUTED_VALUE"""),33.86)</f>
        <v>33.86</v>
      </c>
      <c r="E3403" s="1">
        <f>IFERROR(__xludf.DUMMYFUNCTION("""COMPUTED_VALUE"""),34.34)</f>
        <v>34.34</v>
      </c>
      <c r="F3403" s="1">
        <f>IFERROR(__xludf.DUMMYFUNCTION("""COMPUTED_VALUE"""),236694.0)</f>
        <v>236694</v>
      </c>
    </row>
    <row r="3404">
      <c r="A3404" s="2">
        <f>IFERROR(__xludf.DUMMYFUNCTION("""COMPUTED_VALUE"""),45121.66666666667)</f>
        <v>45121.66667</v>
      </c>
      <c r="B3404" s="1">
        <f>IFERROR(__xludf.DUMMYFUNCTION("""COMPUTED_VALUE"""),34.67)</f>
        <v>34.67</v>
      </c>
      <c r="C3404" s="1">
        <f>IFERROR(__xludf.DUMMYFUNCTION("""COMPUTED_VALUE"""),34.86)</f>
        <v>34.86</v>
      </c>
      <c r="D3404" s="1">
        <f>IFERROR(__xludf.DUMMYFUNCTION("""COMPUTED_VALUE"""),33.19)</f>
        <v>33.19</v>
      </c>
      <c r="E3404" s="1">
        <f>IFERROR(__xludf.DUMMYFUNCTION("""COMPUTED_VALUE"""),33.5)</f>
        <v>33.5</v>
      </c>
      <c r="F3404" s="1">
        <f>IFERROR(__xludf.DUMMYFUNCTION("""COMPUTED_VALUE"""),246323.0)</f>
        <v>246323</v>
      </c>
    </row>
    <row r="3405">
      <c r="A3405" s="2">
        <f>IFERROR(__xludf.DUMMYFUNCTION("""COMPUTED_VALUE"""),45124.66666666667)</f>
        <v>45124.66667</v>
      </c>
      <c r="B3405" s="1">
        <f>IFERROR(__xludf.DUMMYFUNCTION("""COMPUTED_VALUE"""),33.5)</f>
        <v>33.5</v>
      </c>
      <c r="C3405" s="1">
        <f>IFERROR(__xludf.DUMMYFUNCTION("""COMPUTED_VALUE"""),34.55)</f>
        <v>34.55</v>
      </c>
      <c r="D3405" s="1">
        <f>IFERROR(__xludf.DUMMYFUNCTION("""COMPUTED_VALUE"""),33.46)</f>
        <v>33.46</v>
      </c>
      <c r="E3405" s="1">
        <f>IFERROR(__xludf.DUMMYFUNCTION("""COMPUTED_VALUE"""),34.17)</f>
        <v>34.17</v>
      </c>
      <c r="F3405" s="1">
        <f>IFERROR(__xludf.DUMMYFUNCTION("""COMPUTED_VALUE"""),324188.0)</f>
        <v>324188</v>
      </c>
    </row>
    <row r="3406">
      <c r="A3406" s="2">
        <f>IFERROR(__xludf.DUMMYFUNCTION("""COMPUTED_VALUE"""),45125.66666666667)</f>
        <v>45125.66667</v>
      </c>
      <c r="B3406" s="1">
        <f>IFERROR(__xludf.DUMMYFUNCTION("""COMPUTED_VALUE"""),34.22)</f>
        <v>34.22</v>
      </c>
      <c r="C3406" s="1">
        <f>IFERROR(__xludf.DUMMYFUNCTION("""COMPUTED_VALUE"""),35.5)</f>
        <v>35.5</v>
      </c>
      <c r="D3406" s="1">
        <f>IFERROR(__xludf.DUMMYFUNCTION("""COMPUTED_VALUE"""),34.17)</f>
        <v>34.17</v>
      </c>
      <c r="E3406" s="1">
        <f>IFERROR(__xludf.DUMMYFUNCTION("""COMPUTED_VALUE"""),35.39)</f>
        <v>35.39</v>
      </c>
      <c r="F3406" s="1">
        <f>IFERROR(__xludf.DUMMYFUNCTION("""COMPUTED_VALUE"""),296119.0)</f>
        <v>296119</v>
      </c>
    </row>
    <row r="3407">
      <c r="A3407" s="2">
        <f>IFERROR(__xludf.DUMMYFUNCTION("""COMPUTED_VALUE"""),45126.66666666667)</f>
        <v>45126.66667</v>
      </c>
      <c r="B3407" s="1">
        <f>IFERROR(__xludf.DUMMYFUNCTION("""COMPUTED_VALUE"""),35.49)</f>
        <v>35.49</v>
      </c>
      <c r="C3407" s="1">
        <f>IFERROR(__xludf.DUMMYFUNCTION("""COMPUTED_VALUE"""),36.46)</f>
        <v>36.46</v>
      </c>
      <c r="D3407" s="1">
        <f>IFERROR(__xludf.DUMMYFUNCTION("""COMPUTED_VALUE"""),35.23)</f>
        <v>35.23</v>
      </c>
      <c r="E3407" s="1">
        <f>IFERROR(__xludf.DUMMYFUNCTION("""COMPUTED_VALUE"""),36.23)</f>
        <v>36.23</v>
      </c>
      <c r="F3407" s="1">
        <f>IFERROR(__xludf.DUMMYFUNCTION("""COMPUTED_VALUE"""),316235.0)</f>
        <v>316235</v>
      </c>
    </row>
    <row r="3408">
      <c r="A3408" s="2">
        <f>IFERROR(__xludf.DUMMYFUNCTION("""COMPUTED_VALUE"""),45127.66666666667)</f>
        <v>45127.66667</v>
      </c>
      <c r="B3408" s="1">
        <f>IFERROR(__xludf.DUMMYFUNCTION("""COMPUTED_VALUE"""),36.32)</f>
        <v>36.32</v>
      </c>
      <c r="C3408" s="1">
        <f>IFERROR(__xludf.DUMMYFUNCTION("""COMPUTED_VALUE"""),36.32)</f>
        <v>36.32</v>
      </c>
      <c r="D3408" s="1">
        <f>IFERROR(__xludf.DUMMYFUNCTION("""COMPUTED_VALUE"""),35.29)</f>
        <v>35.29</v>
      </c>
      <c r="E3408" s="1">
        <f>IFERROR(__xludf.DUMMYFUNCTION("""COMPUTED_VALUE"""),35.84)</f>
        <v>35.84</v>
      </c>
      <c r="F3408" s="1">
        <f>IFERROR(__xludf.DUMMYFUNCTION("""COMPUTED_VALUE"""),359320.0)</f>
        <v>359320</v>
      </c>
    </row>
    <row r="3409">
      <c r="A3409" s="2">
        <f>IFERROR(__xludf.DUMMYFUNCTION("""COMPUTED_VALUE"""),45128.66666666667)</f>
        <v>45128.66667</v>
      </c>
      <c r="B3409" s="1">
        <f>IFERROR(__xludf.DUMMYFUNCTION("""COMPUTED_VALUE"""),36.09)</f>
        <v>36.09</v>
      </c>
      <c r="C3409" s="1">
        <f>IFERROR(__xludf.DUMMYFUNCTION("""COMPUTED_VALUE"""),36.09)</f>
        <v>36.09</v>
      </c>
      <c r="D3409" s="1">
        <f>IFERROR(__xludf.DUMMYFUNCTION("""COMPUTED_VALUE"""),35.4)</f>
        <v>35.4</v>
      </c>
      <c r="E3409" s="1">
        <f>IFERROR(__xludf.DUMMYFUNCTION("""COMPUTED_VALUE"""),35.64)</f>
        <v>35.64</v>
      </c>
      <c r="F3409" s="1">
        <f>IFERROR(__xludf.DUMMYFUNCTION("""COMPUTED_VALUE"""),274667.0)</f>
        <v>274667</v>
      </c>
    </row>
    <row r="3410">
      <c r="A3410" s="2">
        <f>IFERROR(__xludf.DUMMYFUNCTION("""COMPUTED_VALUE"""),45131.66666666667)</f>
        <v>45131.66667</v>
      </c>
      <c r="B3410" s="1">
        <f>IFERROR(__xludf.DUMMYFUNCTION("""COMPUTED_VALUE"""),35.61)</f>
        <v>35.61</v>
      </c>
      <c r="C3410" s="1">
        <f>IFERROR(__xludf.DUMMYFUNCTION("""COMPUTED_VALUE"""),36.35)</f>
        <v>36.35</v>
      </c>
      <c r="D3410" s="1">
        <f>IFERROR(__xludf.DUMMYFUNCTION("""COMPUTED_VALUE"""),35.56)</f>
        <v>35.56</v>
      </c>
      <c r="E3410" s="1">
        <f>IFERROR(__xludf.DUMMYFUNCTION("""COMPUTED_VALUE"""),36.28)</f>
        <v>36.28</v>
      </c>
      <c r="F3410" s="1">
        <f>IFERROR(__xludf.DUMMYFUNCTION("""COMPUTED_VALUE"""),360775.0)</f>
        <v>360775</v>
      </c>
    </row>
    <row r="3411">
      <c r="A3411" s="2">
        <f>IFERROR(__xludf.DUMMYFUNCTION("""COMPUTED_VALUE"""),45132.66666666667)</f>
        <v>45132.66667</v>
      </c>
      <c r="B3411" s="1">
        <f>IFERROR(__xludf.DUMMYFUNCTION("""COMPUTED_VALUE"""),37.77)</f>
        <v>37.77</v>
      </c>
      <c r="C3411" s="1">
        <f>IFERROR(__xludf.DUMMYFUNCTION("""COMPUTED_VALUE"""),39.21)</f>
        <v>39.21</v>
      </c>
      <c r="D3411" s="1">
        <f>IFERROR(__xludf.DUMMYFUNCTION("""COMPUTED_VALUE"""),37.26)</f>
        <v>37.26</v>
      </c>
      <c r="E3411" s="1">
        <f>IFERROR(__xludf.DUMMYFUNCTION("""COMPUTED_VALUE"""),37.44)</f>
        <v>37.44</v>
      </c>
      <c r="F3411" s="1">
        <f>IFERROR(__xludf.DUMMYFUNCTION("""COMPUTED_VALUE"""),645581.0)</f>
        <v>645581</v>
      </c>
    </row>
    <row r="3412">
      <c r="A3412" s="2">
        <f>IFERROR(__xludf.DUMMYFUNCTION("""COMPUTED_VALUE"""),45133.66666666667)</f>
        <v>45133.66667</v>
      </c>
      <c r="B3412" s="1">
        <f>IFERROR(__xludf.DUMMYFUNCTION("""COMPUTED_VALUE"""),37.87)</f>
        <v>37.87</v>
      </c>
      <c r="C3412" s="1">
        <f>IFERROR(__xludf.DUMMYFUNCTION("""COMPUTED_VALUE"""),38.52)</f>
        <v>38.52</v>
      </c>
      <c r="D3412" s="1">
        <f>IFERROR(__xludf.DUMMYFUNCTION("""COMPUTED_VALUE"""),37.43)</f>
        <v>37.43</v>
      </c>
      <c r="E3412" s="1">
        <f>IFERROR(__xludf.DUMMYFUNCTION("""COMPUTED_VALUE"""),38.35)</f>
        <v>38.35</v>
      </c>
      <c r="F3412" s="1">
        <f>IFERROR(__xludf.DUMMYFUNCTION("""COMPUTED_VALUE"""),499721.0)</f>
        <v>499721</v>
      </c>
    </row>
    <row r="3413">
      <c r="A3413" s="2">
        <f>IFERROR(__xludf.DUMMYFUNCTION("""COMPUTED_VALUE"""),45134.66666666667)</f>
        <v>45134.66667</v>
      </c>
      <c r="B3413" s="1">
        <f>IFERROR(__xludf.DUMMYFUNCTION("""COMPUTED_VALUE"""),38.62)</f>
        <v>38.62</v>
      </c>
      <c r="C3413" s="1">
        <f>IFERROR(__xludf.DUMMYFUNCTION("""COMPUTED_VALUE"""),38.94)</f>
        <v>38.94</v>
      </c>
      <c r="D3413" s="1">
        <f>IFERROR(__xludf.DUMMYFUNCTION("""COMPUTED_VALUE"""),37.73)</f>
        <v>37.73</v>
      </c>
      <c r="E3413" s="1">
        <f>IFERROR(__xludf.DUMMYFUNCTION("""COMPUTED_VALUE"""),37.98)</f>
        <v>37.98</v>
      </c>
      <c r="F3413" s="1">
        <f>IFERROR(__xludf.DUMMYFUNCTION("""COMPUTED_VALUE"""),335217.0)</f>
        <v>335217</v>
      </c>
    </row>
    <row r="3414">
      <c r="A3414" s="2">
        <f>IFERROR(__xludf.DUMMYFUNCTION("""COMPUTED_VALUE"""),45135.66666666667)</f>
        <v>45135.66667</v>
      </c>
      <c r="B3414" s="1">
        <f>IFERROR(__xludf.DUMMYFUNCTION("""COMPUTED_VALUE"""),38.32)</f>
        <v>38.32</v>
      </c>
      <c r="C3414" s="1">
        <f>IFERROR(__xludf.DUMMYFUNCTION("""COMPUTED_VALUE"""),38.77)</f>
        <v>38.77</v>
      </c>
      <c r="D3414" s="1">
        <f>IFERROR(__xludf.DUMMYFUNCTION("""COMPUTED_VALUE"""),37.87)</f>
        <v>37.87</v>
      </c>
      <c r="E3414" s="1">
        <f>IFERROR(__xludf.DUMMYFUNCTION("""COMPUTED_VALUE"""),38.27)</f>
        <v>38.27</v>
      </c>
      <c r="F3414" s="1">
        <f>IFERROR(__xludf.DUMMYFUNCTION("""COMPUTED_VALUE"""),215653.0)</f>
        <v>215653</v>
      </c>
    </row>
    <row r="3415">
      <c r="A3415" s="2">
        <f>IFERROR(__xludf.DUMMYFUNCTION("""COMPUTED_VALUE"""),45138.66666666667)</f>
        <v>45138.66667</v>
      </c>
      <c r="B3415" s="1">
        <f>IFERROR(__xludf.DUMMYFUNCTION("""COMPUTED_VALUE"""),38.24)</f>
        <v>38.24</v>
      </c>
      <c r="C3415" s="1">
        <f>IFERROR(__xludf.DUMMYFUNCTION("""COMPUTED_VALUE"""),38.6)</f>
        <v>38.6</v>
      </c>
      <c r="D3415" s="1">
        <f>IFERROR(__xludf.DUMMYFUNCTION("""COMPUTED_VALUE"""),37.73)</f>
        <v>37.73</v>
      </c>
      <c r="E3415" s="1">
        <f>IFERROR(__xludf.DUMMYFUNCTION("""COMPUTED_VALUE"""),38.04)</f>
        <v>38.04</v>
      </c>
      <c r="F3415" s="1">
        <f>IFERROR(__xludf.DUMMYFUNCTION("""COMPUTED_VALUE"""),300564.0)</f>
        <v>300564</v>
      </c>
    </row>
    <row r="3416">
      <c r="A3416" s="2">
        <f>IFERROR(__xludf.DUMMYFUNCTION("""COMPUTED_VALUE"""),45139.66666666667)</f>
        <v>45139.66667</v>
      </c>
      <c r="B3416" s="1">
        <f>IFERROR(__xludf.DUMMYFUNCTION("""COMPUTED_VALUE"""),37.85)</f>
        <v>37.85</v>
      </c>
      <c r="C3416" s="1">
        <f>IFERROR(__xludf.DUMMYFUNCTION("""COMPUTED_VALUE"""),37.96)</f>
        <v>37.96</v>
      </c>
      <c r="D3416" s="1">
        <f>IFERROR(__xludf.DUMMYFUNCTION("""COMPUTED_VALUE"""),37.14)</f>
        <v>37.14</v>
      </c>
      <c r="E3416" s="1">
        <f>IFERROR(__xludf.DUMMYFUNCTION("""COMPUTED_VALUE"""),37.81)</f>
        <v>37.81</v>
      </c>
      <c r="F3416" s="1">
        <f>IFERROR(__xludf.DUMMYFUNCTION("""COMPUTED_VALUE"""),295142.0)</f>
        <v>295142</v>
      </c>
    </row>
    <row r="3417">
      <c r="A3417" s="2">
        <f>IFERROR(__xludf.DUMMYFUNCTION("""COMPUTED_VALUE"""),45140.66666666667)</f>
        <v>45140.66667</v>
      </c>
      <c r="B3417" s="1">
        <f>IFERROR(__xludf.DUMMYFUNCTION("""COMPUTED_VALUE"""),37.39)</f>
        <v>37.39</v>
      </c>
      <c r="C3417" s="1">
        <f>IFERROR(__xludf.DUMMYFUNCTION("""COMPUTED_VALUE"""),38.01)</f>
        <v>38.01</v>
      </c>
      <c r="D3417" s="1">
        <f>IFERROR(__xludf.DUMMYFUNCTION("""COMPUTED_VALUE"""),37.39)</f>
        <v>37.39</v>
      </c>
      <c r="E3417" s="1">
        <f>IFERROR(__xludf.DUMMYFUNCTION("""COMPUTED_VALUE"""),37.95)</f>
        <v>37.95</v>
      </c>
      <c r="F3417" s="1">
        <f>IFERROR(__xludf.DUMMYFUNCTION("""COMPUTED_VALUE"""),253283.0)</f>
        <v>253283</v>
      </c>
    </row>
    <row r="3418">
      <c r="A3418" s="2">
        <f>IFERROR(__xludf.DUMMYFUNCTION("""COMPUTED_VALUE"""),45141.66666666667)</f>
        <v>45141.66667</v>
      </c>
      <c r="B3418" s="1">
        <f>IFERROR(__xludf.DUMMYFUNCTION("""COMPUTED_VALUE"""),37.87)</f>
        <v>37.87</v>
      </c>
      <c r="C3418" s="1">
        <f>IFERROR(__xludf.DUMMYFUNCTION("""COMPUTED_VALUE"""),38.51)</f>
        <v>38.51</v>
      </c>
      <c r="D3418" s="1">
        <f>IFERROR(__xludf.DUMMYFUNCTION("""COMPUTED_VALUE"""),37.55)</f>
        <v>37.55</v>
      </c>
      <c r="E3418" s="1">
        <f>IFERROR(__xludf.DUMMYFUNCTION("""COMPUTED_VALUE"""),38.24)</f>
        <v>38.24</v>
      </c>
      <c r="F3418" s="1">
        <f>IFERROR(__xludf.DUMMYFUNCTION("""COMPUTED_VALUE"""),252413.0)</f>
        <v>252413</v>
      </c>
    </row>
    <row r="3419">
      <c r="A3419" s="2">
        <f>IFERROR(__xludf.DUMMYFUNCTION("""COMPUTED_VALUE"""),45142.66666666667)</f>
        <v>45142.66667</v>
      </c>
      <c r="B3419" s="1">
        <f>IFERROR(__xludf.DUMMYFUNCTION("""COMPUTED_VALUE"""),38.12)</f>
        <v>38.12</v>
      </c>
      <c r="C3419" s="1">
        <f>IFERROR(__xludf.DUMMYFUNCTION("""COMPUTED_VALUE"""),38.66)</f>
        <v>38.66</v>
      </c>
      <c r="D3419" s="1">
        <f>IFERROR(__xludf.DUMMYFUNCTION("""COMPUTED_VALUE"""),38.05)</f>
        <v>38.05</v>
      </c>
      <c r="E3419" s="1">
        <f>IFERROR(__xludf.DUMMYFUNCTION("""COMPUTED_VALUE"""),38.27)</f>
        <v>38.27</v>
      </c>
      <c r="F3419" s="1">
        <f>IFERROR(__xludf.DUMMYFUNCTION("""COMPUTED_VALUE"""),197546.0)</f>
        <v>197546</v>
      </c>
    </row>
    <row r="3420">
      <c r="A3420" s="2">
        <f>IFERROR(__xludf.DUMMYFUNCTION("""COMPUTED_VALUE"""),45145.66666666667)</f>
        <v>45145.66667</v>
      </c>
      <c r="B3420" s="1">
        <f>IFERROR(__xludf.DUMMYFUNCTION("""COMPUTED_VALUE"""),38.29)</f>
        <v>38.29</v>
      </c>
      <c r="C3420" s="1">
        <f>IFERROR(__xludf.DUMMYFUNCTION("""COMPUTED_VALUE"""),38.74)</f>
        <v>38.74</v>
      </c>
      <c r="D3420" s="1">
        <f>IFERROR(__xludf.DUMMYFUNCTION("""COMPUTED_VALUE"""),38.15)</f>
        <v>38.15</v>
      </c>
      <c r="E3420" s="1">
        <f>IFERROR(__xludf.DUMMYFUNCTION("""COMPUTED_VALUE"""),38.68)</f>
        <v>38.68</v>
      </c>
      <c r="F3420" s="1">
        <f>IFERROR(__xludf.DUMMYFUNCTION("""COMPUTED_VALUE"""),186427.0)</f>
        <v>186427</v>
      </c>
    </row>
    <row r="3421">
      <c r="A3421" s="2">
        <f>IFERROR(__xludf.DUMMYFUNCTION("""COMPUTED_VALUE"""),45146.66666666667)</f>
        <v>45146.66667</v>
      </c>
      <c r="B3421" s="1">
        <f>IFERROR(__xludf.DUMMYFUNCTION("""COMPUTED_VALUE"""),37.76)</f>
        <v>37.76</v>
      </c>
      <c r="C3421" s="1">
        <f>IFERROR(__xludf.DUMMYFUNCTION("""COMPUTED_VALUE"""),37.85)</f>
        <v>37.85</v>
      </c>
      <c r="D3421" s="1">
        <f>IFERROR(__xludf.DUMMYFUNCTION("""COMPUTED_VALUE"""),36.71)</f>
        <v>36.71</v>
      </c>
      <c r="E3421" s="1">
        <f>IFERROR(__xludf.DUMMYFUNCTION("""COMPUTED_VALUE"""),37.76)</f>
        <v>37.76</v>
      </c>
      <c r="F3421" s="1">
        <f>IFERROR(__xludf.DUMMYFUNCTION("""COMPUTED_VALUE"""),295625.0)</f>
        <v>295625</v>
      </c>
    </row>
    <row r="3422">
      <c r="A3422" s="2">
        <f>IFERROR(__xludf.DUMMYFUNCTION("""COMPUTED_VALUE"""),45147.66666666667)</f>
        <v>45147.66667</v>
      </c>
      <c r="B3422" s="1">
        <f>IFERROR(__xludf.DUMMYFUNCTION("""COMPUTED_VALUE"""),37.54)</f>
        <v>37.54</v>
      </c>
      <c r="C3422" s="1">
        <f>IFERROR(__xludf.DUMMYFUNCTION("""COMPUTED_VALUE"""),37.75)</f>
        <v>37.75</v>
      </c>
      <c r="D3422" s="1">
        <f>IFERROR(__xludf.DUMMYFUNCTION("""COMPUTED_VALUE"""),37.16)</f>
        <v>37.16</v>
      </c>
      <c r="E3422" s="1">
        <f>IFERROR(__xludf.DUMMYFUNCTION("""COMPUTED_VALUE"""),37.27)</f>
        <v>37.27</v>
      </c>
      <c r="F3422" s="1">
        <f>IFERROR(__xludf.DUMMYFUNCTION("""COMPUTED_VALUE"""),201966.0)</f>
        <v>201966</v>
      </c>
    </row>
    <row r="3423">
      <c r="A3423" s="2">
        <f>IFERROR(__xludf.DUMMYFUNCTION("""COMPUTED_VALUE"""),45148.66666666667)</f>
        <v>45148.66667</v>
      </c>
      <c r="B3423" s="1">
        <f>IFERROR(__xludf.DUMMYFUNCTION("""COMPUTED_VALUE"""),37.57)</f>
        <v>37.57</v>
      </c>
      <c r="C3423" s="1">
        <f>IFERROR(__xludf.DUMMYFUNCTION("""COMPUTED_VALUE"""),37.63)</f>
        <v>37.63</v>
      </c>
      <c r="D3423" s="1">
        <f>IFERROR(__xludf.DUMMYFUNCTION("""COMPUTED_VALUE"""),36.47)</f>
        <v>36.47</v>
      </c>
      <c r="E3423" s="1">
        <f>IFERROR(__xludf.DUMMYFUNCTION("""COMPUTED_VALUE"""),36.82)</f>
        <v>36.82</v>
      </c>
      <c r="F3423" s="1">
        <f>IFERROR(__xludf.DUMMYFUNCTION("""COMPUTED_VALUE"""),381799.0)</f>
        <v>381799</v>
      </c>
    </row>
    <row r="3424">
      <c r="A3424" s="2">
        <f>IFERROR(__xludf.DUMMYFUNCTION("""COMPUTED_VALUE"""),45149.66666666667)</f>
        <v>45149.66667</v>
      </c>
      <c r="B3424" s="1">
        <f>IFERROR(__xludf.DUMMYFUNCTION("""COMPUTED_VALUE"""),36.66)</f>
        <v>36.66</v>
      </c>
      <c r="C3424" s="1">
        <f>IFERROR(__xludf.DUMMYFUNCTION("""COMPUTED_VALUE"""),37.12)</f>
        <v>37.12</v>
      </c>
      <c r="D3424" s="1">
        <f>IFERROR(__xludf.DUMMYFUNCTION("""COMPUTED_VALUE"""),36.49)</f>
        <v>36.49</v>
      </c>
      <c r="E3424" s="1">
        <f>IFERROR(__xludf.DUMMYFUNCTION("""COMPUTED_VALUE"""),36.97)</f>
        <v>36.97</v>
      </c>
      <c r="F3424" s="1">
        <f>IFERROR(__xludf.DUMMYFUNCTION("""COMPUTED_VALUE"""),228108.0)</f>
        <v>228108</v>
      </c>
    </row>
    <row r="3425">
      <c r="A3425" s="2">
        <f>IFERROR(__xludf.DUMMYFUNCTION("""COMPUTED_VALUE"""),45152.66666666667)</f>
        <v>45152.66667</v>
      </c>
      <c r="B3425" s="1">
        <f>IFERROR(__xludf.DUMMYFUNCTION("""COMPUTED_VALUE"""),36.64)</f>
        <v>36.64</v>
      </c>
      <c r="C3425" s="1">
        <f>IFERROR(__xludf.DUMMYFUNCTION("""COMPUTED_VALUE"""),36.8)</f>
        <v>36.8</v>
      </c>
      <c r="D3425" s="1">
        <f>IFERROR(__xludf.DUMMYFUNCTION("""COMPUTED_VALUE"""),36.12)</f>
        <v>36.12</v>
      </c>
      <c r="E3425" s="1">
        <f>IFERROR(__xludf.DUMMYFUNCTION("""COMPUTED_VALUE"""),36.34)</f>
        <v>36.34</v>
      </c>
      <c r="F3425" s="1">
        <f>IFERROR(__xludf.DUMMYFUNCTION("""COMPUTED_VALUE"""),202209.0)</f>
        <v>202209</v>
      </c>
    </row>
    <row r="3426">
      <c r="A3426" s="2">
        <f>IFERROR(__xludf.DUMMYFUNCTION("""COMPUTED_VALUE"""),45153.66666666667)</f>
        <v>45153.66667</v>
      </c>
      <c r="B3426" s="1">
        <f>IFERROR(__xludf.DUMMYFUNCTION("""COMPUTED_VALUE"""),35.7)</f>
        <v>35.7</v>
      </c>
      <c r="C3426" s="1">
        <f>IFERROR(__xludf.DUMMYFUNCTION("""COMPUTED_VALUE"""),35.7)</f>
        <v>35.7</v>
      </c>
      <c r="D3426" s="1">
        <f>IFERROR(__xludf.DUMMYFUNCTION("""COMPUTED_VALUE"""),34.82)</f>
        <v>34.82</v>
      </c>
      <c r="E3426" s="1">
        <f>IFERROR(__xludf.DUMMYFUNCTION("""COMPUTED_VALUE"""),34.84)</f>
        <v>34.84</v>
      </c>
      <c r="F3426" s="1">
        <f>IFERROR(__xludf.DUMMYFUNCTION("""COMPUTED_VALUE"""),272931.0)</f>
        <v>272931</v>
      </c>
    </row>
    <row r="3427">
      <c r="A3427" s="2">
        <f>IFERROR(__xludf.DUMMYFUNCTION("""COMPUTED_VALUE"""),45154.66666666667)</f>
        <v>45154.66667</v>
      </c>
      <c r="B3427" s="1">
        <f>IFERROR(__xludf.DUMMYFUNCTION("""COMPUTED_VALUE"""),34.75)</f>
        <v>34.75</v>
      </c>
      <c r="C3427" s="1">
        <f>IFERROR(__xludf.DUMMYFUNCTION("""COMPUTED_VALUE"""),35.22)</f>
        <v>35.22</v>
      </c>
      <c r="D3427" s="1">
        <f>IFERROR(__xludf.DUMMYFUNCTION("""COMPUTED_VALUE"""),34.63)</f>
        <v>34.63</v>
      </c>
      <c r="E3427" s="1">
        <f>IFERROR(__xludf.DUMMYFUNCTION("""COMPUTED_VALUE"""),34.73)</f>
        <v>34.73</v>
      </c>
      <c r="F3427" s="1">
        <f>IFERROR(__xludf.DUMMYFUNCTION("""COMPUTED_VALUE"""),244220.0)</f>
        <v>244220</v>
      </c>
    </row>
    <row r="3428">
      <c r="A3428" s="2">
        <f>IFERROR(__xludf.DUMMYFUNCTION("""COMPUTED_VALUE"""),45155.66666666667)</f>
        <v>45155.66667</v>
      </c>
      <c r="B3428" s="1">
        <f>IFERROR(__xludf.DUMMYFUNCTION("""COMPUTED_VALUE"""),34.84)</f>
        <v>34.84</v>
      </c>
      <c r="C3428" s="1">
        <f>IFERROR(__xludf.DUMMYFUNCTION("""COMPUTED_VALUE"""),35.2)</f>
        <v>35.2</v>
      </c>
      <c r="D3428" s="1">
        <f>IFERROR(__xludf.DUMMYFUNCTION("""COMPUTED_VALUE"""),34.71)</f>
        <v>34.71</v>
      </c>
      <c r="E3428" s="1">
        <f>IFERROR(__xludf.DUMMYFUNCTION("""COMPUTED_VALUE"""),34.88)</f>
        <v>34.88</v>
      </c>
      <c r="F3428" s="1">
        <f>IFERROR(__xludf.DUMMYFUNCTION("""COMPUTED_VALUE"""),196009.0)</f>
        <v>196009</v>
      </c>
    </row>
    <row r="3429">
      <c r="A3429" s="2">
        <f>IFERROR(__xludf.DUMMYFUNCTION("""COMPUTED_VALUE"""),45156.66666666667)</f>
        <v>45156.66667</v>
      </c>
      <c r="B3429" s="1">
        <f>IFERROR(__xludf.DUMMYFUNCTION("""COMPUTED_VALUE"""),34.59)</f>
        <v>34.59</v>
      </c>
      <c r="C3429" s="1">
        <f>IFERROR(__xludf.DUMMYFUNCTION("""COMPUTED_VALUE"""),35.38)</f>
        <v>35.38</v>
      </c>
      <c r="D3429" s="1">
        <f>IFERROR(__xludf.DUMMYFUNCTION("""COMPUTED_VALUE"""),34.46)</f>
        <v>34.46</v>
      </c>
      <c r="E3429" s="1">
        <f>IFERROR(__xludf.DUMMYFUNCTION("""COMPUTED_VALUE"""),35.1)</f>
        <v>35.1</v>
      </c>
      <c r="F3429" s="1">
        <f>IFERROR(__xludf.DUMMYFUNCTION("""COMPUTED_VALUE"""),1029578.0)</f>
        <v>1029578</v>
      </c>
    </row>
    <row r="3430">
      <c r="A3430" s="2">
        <f>IFERROR(__xludf.DUMMYFUNCTION("""COMPUTED_VALUE"""),45159.66666666667)</f>
        <v>45159.66667</v>
      </c>
      <c r="B3430" s="1">
        <f>IFERROR(__xludf.DUMMYFUNCTION("""COMPUTED_VALUE"""),35.14)</f>
        <v>35.14</v>
      </c>
      <c r="C3430" s="1">
        <f>IFERROR(__xludf.DUMMYFUNCTION("""COMPUTED_VALUE"""),35.24)</f>
        <v>35.24</v>
      </c>
      <c r="D3430" s="1">
        <f>IFERROR(__xludf.DUMMYFUNCTION("""COMPUTED_VALUE"""),34.42)</f>
        <v>34.42</v>
      </c>
      <c r="E3430" s="1">
        <f>IFERROR(__xludf.DUMMYFUNCTION("""COMPUTED_VALUE"""),34.74)</f>
        <v>34.74</v>
      </c>
      <c r="F3430" s="1">
        <f>IFERROR(__xludf.DUMMYFUNCTION("""COMPUTED_VALUE"""),195403.0)</f>
        <v>195403</v>
      </c>
    </row>
    <row r="3431">
      <c r="A3431" s="2">
        <f>IFERROR(__xludf.DUMMYFUNCTION("""COMPUTED_VALUE"""),45160.66666666667)</f>
        <v>45160.66667</v>
      </c>
      <c r="B3431" s="1">
        <f>IFERROR(__xludf.DUMMYFUNCTION("""COMPUTED_VALUE"""),34.7)</f>
        <v>34.7</v>
      </c>
      <c r="C3431" s="1">
        <f>IFERROR(__xludf.DUMMYFUNCTION("""COMPUTED_VALUE"""),35.0)</f>
        <v>35</v>
      </c>
      <c r="D3431" s="1">
        <f>IFERROR(__xludf.DUMMYFUNCTION("""COMPUTED_VALUE"""),33.92)</f>
        <v>33.92</v>
      </c>
      <c r="E3431" s="1">
        <f>IFERROR(__xludf.DUMMYFUNCTION("""COMPUTED_VALUE"""),33.94)</f>
        <v>33.94</v>
      </c>
      <c r="F3431" s="1">
        <f>IFERROR(__xludf.DUMMYFUNCTION("""COMPUTED_VALUE"""),196876.0)</f>
        <v>196876</v>
      </c>
    </row>
    <row r="3432">
      <c r="A3432" s="2">
        <f>IFERROR(__xludf.DUMMYFUNCTION("""COMPUTED_VALUE"""),45161.66666666667)</f>
        <v>45161.66667</v>
      </c>
      <c r="B3432" s="1">
        <f>IFERROR(__xludf.DUMMYFUNCTION("""COMPUTED_VALUE"""),33.88)</f>
        <v>33.88</v>
      </c>
      <c r="C3432" s="1">
        <f>IFERROR(__xludf.DUMMYFUNCTION("""COMPUTED_VALUE"""),34.57)</f>
        <v>34.57</v>
      </c>
      <c r="D3432" s="1">
        <f>IFERROR(__xludf.DUMMYFUNCTION("""COMPUTED_VALUE"""),33.63)</f>
        <v>33.63</v>
      </c>
      <c r="E3432" s="1">
        <f>IFERROR(__xludf.DUMMYFUNCTION("""COMPUTED_VALUE"""),34.5)</f>
        <v>34.5</v>
      </c>
      <c r="F3432" s="1">
        <f>IFERROR(__xludf.DUMMYFUNCTION("""COMPUTED_VALUE"""),220008.0)</f>
        <v>220008</v>
      </c>
    </row>
    <row r="3433">
      <c r="A3433" s="2">
        <f>IFERROR(__xludf.DUMMYFUNCTION("""COMPUTED_VALUE"""),45162.66666666667)</f>
        <v>45162.66667</v>
      </c>
      <c r="B3433" s="1">
        <f>IFERROR(__xludf.DUMMYFUNCTION("""COMPUTED_VALUE"""),34.33)</f>
        <v>34.33</v>
      </c>
      <c r="C3433" s="1">
        <f>IFERROR(__xludf.DUMMYFUNCTION("""COMPUTED_VALUE"""),35.04)</f>
        <v>35.04</v>
      </c>
      <c r="D3433" s="1">
        <f>IFERROR(__xludf.DUMMYFUNCTION("""COMPUTED_VALUE"""),34.32)</f>
        <v>34.32</v>
      </c>
      <c r="E3433" s="1">
        <f>IFERROR(__xludf.DUMMYFUNCTION("""COMPUTED_VALUE"""),34.49)</f>
        <v>34.49</v>
      </c>
      <c r="F3433" s="1">
        <f>IFERROR(__xludf.DUMMYFUNCTION("""COMPUTED_VALUE"""),158674.0)</f>
        <v>158674</v>
      </c>
    </row>
    <row r="3434">
      <c r="A3434" s="2">
        <f>IFERROR(__xludf.DUMMYFUNCTION("""COMPUTED_VALUE"""),45163.66666666667)</f>
        <v>45163.66667</v>
      </c>
      <c r="B3434" s="1">
        <f>IFERROR(__xludf.DUMMYFUNCTION("""COMPUTED_VALUE"""),34.59)</f>
        <v>34.59</v>
      </c>
      <c r="C3434" s="1">
        <f>IFERROR(__xludf.DUMMYFUNCTION("""COMPUTED_VALUE"""),34.92)</f>
        <v>34.92</v>
      </c>
      <c r="D3434" s="1">
        <f>IFERROR(__xludf.DUMMYFUNCTION("""COMPUTED_VALUE"""),33.78)</f>
        <v>33.78</v>
      </c>
      <c r="E3434" s="1">
        <f>IFERROR(__xludf.DUMMYFUNCTION("""COMPUTED_VALUE"""),34.51)</f>
        <v>34.51</v>
      </c>
      <c r="F3434" s="1">
        <f>IFERROR(__xludf.DUMMYFUNCTION("""COMPUTED_VALUE"""),212636.0)</f>
        <v>212636</v>
      </c>
    </row>
    <row r="3435">
      <c r="A3435" s="2">
        <f>IFERROR(__xludf.DUMMYFUNCTION("""COMPUTED_VALUE"""),45166.66666666667)</f>
        <v>45166.66667</v>
      </c>
      <c r="B3435" s="1">
        <f>IFERROR(__xludf.DUMMYFUNCTION("""COMPUTED_VALUE"""),34.67)</f>
        <v>34.67</v>
      </c>
      <c r="C3435" s="1">
        <f>IFERROR(__xludf.DUMMYFUNCTION("""COMPUTED_VALUE"""),35.33)</f>
        <v>35.33</v>
      </c>
      <c r="D3435" s="1">
        <f>IFERROR(__xludf.DUMMYFUNCTION("""COMPUTED_VALUE"""),34.61)</f>
        <v>34.61</v>
      </c>
      <c r="E3435" s="1">
        <f>IFERROR(__xludf.DUMMYFUNCTION("""COMPUTED_VALUE"""),35.18)</f>
        <v>35.18</v>
      </c>
      <c r="F3435" s="1">
        <f>IFERROR(__xludf.DUMMYFUNCTION("""COMPUTED_VALUE"""),213562.0)</f>
        <v>213562</v>
      </c>
    </row>
    <row r="3436">
      <c r="A3436" s="2">
        <f>IFERROR(__xludf.DUMMYFUNCTION("""COMPUTED_VALUE"""),45167.66666666667)</f>
        <v>45167.66667</v>
      </c>
      <c r="B3436" s="1">
        <f>IFERROR(__xludf.DUMMYFUNCTION("""COMPUTED_VALUE"""),34.8)</f>
        <v>34.8</v>
      </c>
      <c r="C3436" s="1">
        <f>IFERROR(__xludf.DUMMYFUNCTION("""COMPUTED_VALUE"""),35.46)</f>
        <v>35.46</v>
      </c>
      <c r="D3436" s="1">
        <f>IFERROR(__xludf.DUMMYFUNCTION("""COMPUTED_VALUE"""),34.63)</f>
        <v>34.63</v>
      </c>
      <c r="E3436" s="1">
        <f>IFERROR(__xludf.DUMMYFUNCTION("""COMPUTED_VALUE"""),35.43)</f>
        <v>35.43</v>
      </c>
      <c r="F3436" s="1">
        <f>IFERROR(__xludf.DUMMYFUNCTION("""COMPUTED_VALUE"""),193503.0)</f>
        <v>193503</v>
      </c>
    </row>
    <row r="3437">
      <c r="A3437" s="2">
        <f>IFERROR(__xludf.DUMMYFUNCTION("""COMPUTED_VALUE"""),45168.66666666667)</f>
        <v>45168.66667</v>
      </c>
      <c r="B3437" s="1">
        <f>IFERROR(__xludf.DUMMYFUNCTION("""COMPUTED_VALUE"""),35.35)</f>
        <v>35.35</v>
      </c>
      <c r="C3437" s="1">
        <f>IFERROR(__xludf.DUMMYFUNCTION("""COMPUTED_VALUE"""),35.47)</f>
        <v>35.47</v>
      </c>
      <c r="D3437" s="1">
        <f>IFERROR(__xludf.DUMMYFUNCTION("""COMPUTED_VALUE"""),35.13)</f>
        <v>35.13</v>
      </c>
      <c r="E3437" s="1">
        <f>IFERROR(__xludf.DUMMYFUNCTION("""COMPUTED_VALUE"""),35.34)</f>
        <v>35.34</v>
      </c>
      <c r="F3437" s="1">
        <f>IFERROR(__xludf.DUMMYFUNCTION("""COMPUTED_VALUE"""),192815.0)</f>
        <v>192815</v>
      </c>
    </row>
    <row r="3438">
      <c r="A3438" s="2">
        <f>IFERROR(__xludf.DUMMYFUNCTION("""COMPUTED_VALUE"""),45169.66666666667)</f>
        <v>45169.66667</v>
      </c>
      <c r="B3438" s="1">
        <f>IFERROR(__xludf.DUMMYFUNCTION("""COMPUTED_VALUE"""),35.3)</f>
        <v>35.3</v>
      </c>
      <c r="C3438" s="1">
        <f>IFERROR(__xludf.DUMMYFUNCTION("""COMPUTED_VALUE"""),36.04)</f>
        <v>36.04</v>
      </c>
      <c r="D3438" s="1">
        <f>IFERROR(__xludf.DUMMYFUNCTION("""COMPUTED_VALUE"""),35.23)</f>
        <v>35.23</v>
      </c>
      <c r="E3438" s="1">
        <f>IFERROR(__xludf.DUMMYFUNCTION("""COMPUTED_VALUE"""),35.63)</f>
        <v>35.63</v>
      </c>
      <c r="F3438" s="1">
        <f>IFERROR(__xludf.DUMMYFUNCTION("""COMPUTED_VALUE"""),403281.0)</f>
        <v>403281</v>
      </c>
    </row>
    <row r="3439">
      <c r="A3439" s="2">
        <f>IFERROR(__xludf.DUMMYFUNCTION("""COMPUTED_VALUE"""),45170.66666666667)</f>
        <v>45170.66667</v>
      </c>
      <c r="B3439" s="1">
        <f>IFERROR(__xludf.DUMMYFUNCTION("""COMPUTED_VALUE"""),35.9)</f>
        <v>35.9</v>
      </c>
      <c r="C3439" s="1">
        <f>IFERROR(__xludf.DUMMYFUNCTION("""COMPUTED_VALUE"""),36.85)</f>
        <v>36.85</v>
      </c>
      <c r="D3439" s="1">
        <f>IFERROR(__xludf.DUMMYFUNCTION("""COMPUTED_VALUE"""),35.18)</f>
        <v>35.18</v>
      </c>
      <c r="E3439" s="1">
        <f>IFERROR(__xludf.DUMMYFUNCTION("""COMPUTED_VALUE"""),36.68)</f>
        <v>36.68</v>
      </c>
      <c r="F3439" s="1">
        <f>IFERROR(__xludf.DUMMYFUNCTION("""COMPUTED_VALUE"""),249520.0)</f>
        <v>249520</v>
      </c>
    </row>
    <row r="3440">
      <c r="A3440" s="2">
        <f>IFERROR(__xludf.DUMMYFUNCTION("""COMPUTED_VALUE"""),45174.66666666667)</f>
        <v>45174.66667</v>
      </c>
      <c r="B3440" s="1">
        <f>IFERROR(__xludf.DUMMYFUNCTION("""COMPUTED_VALUE"""),36.55)</f>
        <v>36.55</v>
      </c>
      <c r="C3440" s="1">
        <f>IFERROR(__xludf.DUMMYFUNCTION("""COMPUTED_VALUE"""),38.71)</f>
        <v>38.71</v>
      </c>
      <c r="D3440" s="1">
        <f>IFERROR(__xludf.DUMMYFUNCTION("""COMPUTED_VALUE"""),36.54)</f>
        <v>36.54</v>
      </c>
      <c r="E3440" s="1">
        <f>IFERROR(__xludf.DUMMYFUNCTION("""COMPUTED_VALUE"""),37.75)</f>
        <v>37.75</v>
      </c>
      <c r="F3440" s="1">
        <f>IFERROR(__xludf.DUMMYFUNCTION("""COMPUTED_VALUE"""),980129.0)</f>
        <v>980129</v>
      </c>
    </row>
    <row r="3441">
      <c r="A3441" s="2">
        <f>IFERROR(__xludf.DUMMYFUNCTION("""COMPUTED_VALUE"""),45175.66666666667)</f>
        <v>45175.66667</v>
      </c>
      <c r="B3441" s="1">
        <f>IFERROR(__xludf.DUMMYFUNCTION("""COMPUTED_VALUE"""),37.71)</f>
        <v>37.71</v>
      </c>
      <c r="C3441" s="1">
        <f>IFERROR(__xludf.DUMMYFUNCTION("""COMPUTED_VALUE"""),37.78)</f>
        <v>37.78</v>
      </c>
      <c r="D3441" s="1">
        <f>IFERROR(__xludf.DUMMYFUNCTION("""COMPUTED_VALUE"""),36.34)</f>
        <v>36.34</v>
      </c>
      <c r="E3441" s="1">
        <f>IFERROR(__xludf.DUMMYFUNCTION("""COMPUTED_VALUE"""),36.5)</f>
        <v>36.5</v>
      </c>
      <c r="F3441" s="1">
        <f>IFERROR(__xludf.DUMMYFUNCTION("""COMPUTED_VALUE"""),398820.0)</f>
        <v>398820</v>
      </c>
    </row>
    <row r="3442">
      <c r="A3442" s="2">
        <f>IFERROR(__xludf.DUMMYFUNCTION("""COMPUTED_VALUE"""),45176.66666666667)</f>
        <v>45176.66667</v>
      </c>
      <c r="B3442" s="1">
        <f>IFERROR(__xludf.DUMMYFUNCTION("""COMPUTED_VALUE"""),36.33)</f>
        <v>36.33</v>
      </c>
      <c r="C3442" s="1">
        <f>IFERROR(__xludf.DUMMYFUNCTION("""COMPUTED_VALUE"""),36.56)</f>
        <v>36.56</v>
      </c>
      <c r="D3442" s="1">
        <f>IFERROR(__xludf.DUMMYFUNCTION("""COMPUTED_VALUE"""),36.13)</f>
        <v>36.13</v>
      </c>
      <c r="E3442" s="1">
        <f>IFERROR(__xludf.DUMMYFUNCTION("""COMPUTED_VALUE"""),36.5)</f>
        <v>36.5</v>
      </c>
      <c r="F3442" s="1">
        <f>IFERROR(__xludf.DUMMYFUNCTION("""COMPUTED_VALUE"""),376615.0)</f>
        <v>376615</v>
      </c>
    </row>
    <row r="3443">
      <c r="A3443" s="2">
        <f>IFERROR(__xludf.DUMMYFUNCTION("""COMPUTED_VALUE"""),45177.66666666667)</f>
        <v>45177.66667</v>
      </c>
      <c r="B3443" s="1">
        <f>IFERROR(__xludf.DUMMYFUNCTION("""COMPUTED_VALUE"""),36.55)</f>
        <v>36.55</v>
      </c>
      <c r="C3443" s="1">
        <f>IFERROR(__xludf.DUMMYFUNCTION("""COMPUTED_VALUE"""),37.08)</f>
        <v>37.08</v>
      </c>
      <c r="D3443" s="1">
        <f>IFERROR(__xludf.DUMMYFUNCTION("""COMPUTED_VALUE"""),36.12)</f>
        <v>36.12</v>
      </c>
      <c r="E3443" s="1">
        <f>IFERROR(__xludf.DUMMYFUNCTION("""COMPUTED_VALUE"""),36.74)</f>
        <v>36.74</v>
      </c>
      <c r="F3443" s="1">
        <f>IFERROR(__xludf.DUMMYFUNCTION("""COMPUTED_VALUE"""),384681.0)</f>
        <v>384681</v>
      </c>
    </row>
    <row r="3444">
      <c r="A3444" s="2">
        <f>IFERROR(__xludf.DUMMYFUNCTION("""COMPUTED_VALUE"""),45180.66666666667)</f>
        <v>45180.66667</v>
      </c>
      <c r="B3444" s="1">
        <f>IFERROR(__xludf.DUMMYFUNCTION("""COMPUTED_VALUE"""),36.9)</f>
        <v>36.9</v>
      </c>
      <c r="C3444" s="1">
        <f>IFERROR(__xludf.DUMMYFUNCTION("""COMPUTED_VALUE"""),37.35)</f>
        <v>37.35</v>
      </c>
      <c r="D3444" s="1">
        <f>IFERROR(__xludf.DUMMYFUNCTION("""COMPUTED_VALUE"""),36.6)</f>
        <v>36.6</v>
      </c>
      <c r="E3444" s="1">
        <f>IFERROR(__xludf.DUMMYFUNCTION("""COMPUTED_VALUE"""),36.67)</f>
        <v>36.67</v>
      </c>
      <c r="F3444" s="1">
        <f>IFERROR(__xludf.DUMMYFUNCTION("""COMPUTED_VALUE"""),232965.0)</f>
        <v>232965</v>
      </c>
    </row>
    <row r="3445">
      <c r="A3445" s="2">
        <f>IFERROR(__xludf.DUMMYFUNCTION("""COMPUTED_VALUE"""),45181.66666666667)</f>
        <v>45181.66667</v>
      </c>
      <c r="B3445" s="1">
        <f>IFERROR(__xludf.DUMMYFUNCTION("""COMPUTED_VALUE"""),36.74)</f>
        <v>36.74</v>
      </c>
      <c r="C3445" s="1">
        <f>IFERROR(__xludf.DUMMYFUNCTION("""COMPUTED_VALUE"""),37.17)</f>
        <v>37.17</v>
      </c>
      <c r="D3445" s="1">
        <f>IFERROR(__xludf.DUMMYFUNCTION("""COMPUTED_VALUE"""),36.28)</f>
        <v>36.28</v>
      </c>
      <c r="E3445" s="1">
        <f>IFERROR(__xludf.DUMMYFUNCTION("""COMPUTED_VALUE"""),36.32)</f>
        <v>36.32</v>
      </c>
      <c r="F3445" s="1">
        <f>IFERROR(__xludf.DUMMYFUNCTION("""COMPUTED_VALUE"""),282720.0)</f>
        <v>282720</v>
      </c>
    </row>
    <row r="3446">
      <c r="A3446" s="2">
        <f>IFERROR(__xludf.DUMMYFUNCTION("""COMPUTED_VALUE"""),45182.66666666667)</f>
        <v>45182.66667</v>
      </c>
      <c r="B3446" s="1">
        <f>IFERROR(__xludf.DUMMYFUNCTION("""COMPUTED_VALUE"""),36.5)</f>
        <v>36.5</v>
      </c>
      <c r="C3446" s="1">
        <f>IFERROR(__xludf.DUMMYFUNCTION("""COMPUTED_VALUE"""),36.5)</f>
        <v>36.5</v>
      </c>
      <c r="D3446" s="1">
        <f>IFERROR(__xludf.DUMMYFUNCTION("""COMPUTED_VALUE"""),35.62)</f>
        <v>35.62</v>
      </c>
      <c r="E3446" s="1">
        <f>IFERROR(__xludf.DUMMYFUNCTION("""COMPUTED_VALUE"""),36.08)</f>
        <v>36.08</v>
      </c>
      <c r="F3446" s="1">
        <f>IFERROR(__xludf.DUMMYFUNCTION("""COMPUTED_VALUE"""),364570.0)</f>
        <v>364570</v>
      </c>
    </row>
    <row r="3447">
      <c r="A3447" s="2">
        <f>IFERROR(__xludf.DUMMYFUNCTION("""COMPUTED_VALUE"""),45183.66666666667)</f>
        <v>45183.66667</v>
      </c>
      <c r="B3447" s="1">
        <f>IFERROR(__xludf.DUMMYFUNCTION("""COMPUTED_VALUE"""),36.46)</f>
        <v>36.46</v>
      </c>
      <c r="C3447" s="1">
        <f>IFERROR(__xludf.DUMMYFUNCTION("""COMPUTED_VALUE"""),37.23)</f>
        <v>37.23</v>
      </c>
      <c r="D3447" s="1">
        <f>IFERROR(__xludf.DUMMYFUNCTION("""COMPUTED_VALUE"""),36.46)</f>
        <v>36.46</v>
      </c>
      <c r="E3447" s="1">
        <f>IFERROR(__xludf.DUMMYFUNCTION("""COMPUTED_VALUE"""),36.89)</f>
        <v>36.89</v>
      </c>
      <c r="F3447" s="1">
        <f>IFERROR(__xludf.DUMMYFUNCTION("""COMPUTED_VALUE"""),406553.0)</f>
        <v>406553</v>
      </c>
    </row>
    <row r="3448">
      <c r="A3448" s="2">
        <f>IFERROR(__xludf.DUMMYFUNCTION("""COMPUTED_VALUE"""),45184.66666666667)</f>
        <v>45184.66667</v>
      </c>
      <c r="B3448" s="1">
        <f>IFERROR(__xludf.DUMMYFUNCTION("""COMPUTED_VALUE"""),36.81)</f>
        <v>36.81</v>
      </c>
      <c r="C3448" s="1">
        <f>IFERROR(__xludf.DUMMYFUNCTION("""COMPUTED_VALUE"""),37.62)</f>
        <v>37.62</v>
      </c>
      <c r="D3448" s="1">
        <f>IFERROR(__xludf.DUMMYFUNCTION("""COMPUTED_VALUE"""),36.64)</f>
        <v>36.64</v>
      </c>
      <c r="E3448" s="1">
        <f>IFERROR(__xludf.DUMMYFUNCTION("""COMPUTED_VALUE"""),37.17)</f>
        <v>37.17</v>
      </c>
      <c r="F3448" s="1">
        <f>IFERROR(__xludf.DUMMYFUNCTION("""COMPUTED_VALUE"""),1.2909859E7)</f>
        <v>12909859</v>
      </c>
    </row>
    <row r="3449">
      <c r="A3449" s="2">
        <f>IFERROR(__xludf.DUMMYFUNCTION("""COMPUTED_VALUE"""),45187.66666666667)</f>
        <v>45187.66667</v>
      </c>
      <c r="B3449" s="1">
        <f>IFERROR(__xludf.DUMMYFUNCTION("""COMPUTED_VALUE"""),36.93)</f>
        <v>36.93</v>
      </c>
      <c r="C3449" s="1">
        <f>IFERROR(__xludf.DUMMYFUNCTION("""COMPUTED_VALUE"""),36.93)</f>
        <v>36.93</v>
      </c>
      <c r="D3449" s="1">
        <f>IFERROR(__xludf.DUMMYFUNCTION("""COMPUTED_VALUE"""),35.49)</f>
        <v>35.49</v>
      </c>
      <c r="E3449" s="1">
        <f>IFERROR(__xludf.DUMMYFUNCTION("""COMPUTED_VALUE"""),35.71)</f>
        <v>35.71</v>
      </c>
      <c r="F3449" s="1">
        <f>IFERROR(__xludf.DUMMYFUNCTION("""COMPUTED_VALUE"""),520273.0)</f>
        <v>520273</v>
      </c>
    </row>
    <row r="3450">
      <c r="A3450" s="2">
        <f>IFERROR(__xludf.DUMMYFUNCTION("""COMPUTED_VALUE"""),45188.66666666667)</f>
        <v>45188.66667</v>
      </c>
      <c r="B3450" s="1">
        <f>IFERROR(__xludf.DUMMYFUNCTION("""COMPUTED_VALUE"""),35.75)</f>
        <v>35.75</v>
      </c>
      <c r="C3450" s="1">
        <f>IFERROR(__xludf.DUMMYFUNCTION("""COMPUTED_VALUE"""),36.2)</f>
        <v>36.2</v>
      </c>
      <c r="D3450" s="1">
        <f>IFERROR(__xludf.DUMMYFUNCTION("""COMPUTED_VALUE"""),35.35)</f>
        <v>35.35</v>
      </c>
      <c r="E3450" s="1">
        <f>IFERROR(__xludf.DUMMYFUNCTION("""COMPUTED_VALUE"""),35.81)</f>
        <v>35.81</v>
      </c>
      <c r="F3450" s="1">
        <f>IFERROR(__xludf.DUMMYFUNCTION("""COMPUTED_VALUE"""),630650.0)</f>
        <v>630650</v>
      </c>
    </row>
    <row r="3451">
      <c r="A3451" s="2">
        <f>IFERROR(__xludf.DUMMYFUNCTION("""COMPUTED_VALUE"""),45189.66666666667)</f>
        <v>45189.66667</v>
      </c>
      <c r="B3451" s="1">
        <f>IFERROR(__xludf.DUMMYFUNCTION("""COMPUTED_VALUE"""),36.02)</f>
        <v>36.02</v>
      </c>
      <c r="C3451" s="1">
        <f>IFERROR(__xludf.DUMMYFUNCTION("""COMPUTED_VALUE"""),36.46)</f>
        <v>36.46</v>
      </c>
      <c r="D3451" s="1">
        <f>IFERROR(__xludf.DUMMYFUNCTION("""COMPUTED_VALUE"""),35.59)</f>
        <v>35.59</v>
      </c>
      <c r="E3451" s="1">
        <f>IFERROR(__xludf.DUMMYFUNCTION("""COMPUTED_VALUE"""),35.66)</f>
        <v>35.66</v>
      </c>
      <c r="F3451" s="1">
        <f>IFERROR(__xludf.DUMMYFUNCTION("""COMPUTED_VALUE"""),586418.0)</f>
        <v>586418</v>
      </c>
    </row>
    <row r="3452">
      <c r="A3452" s="2">
        <f>IFERROR(__xludf.DUMMYFUNCTION("""COMPUTED_VALUE"""),45190.66666666667)</f>
        <v>45190.66667</v>
      </c>
      <c r="B3452" s="1">
        <f>IFERROR(__xludf.DUMMYFUNCTION("""COMPUTED_VALUE"""),35.48)</f>
        <v>35.48</v>
      </c>
      <c r="C3452" s="1">
        <f>IFERROR(__xludf.DUMMYFUNCTION("""COMPUTED_VALUE"""),35.54)</f>
        <v>35.54</v>
      </c>
      <c r="D3452" s="1">
        <f>IFERROR(__xludf.DUMMYFUNCTION("""COMPUTED_VALUE"""),34.99)</f>
        <v>34.99</v>
      </c>
      <c r="E3452" s="1">
        <f>IFERROR(__xludf.DUMMYFUNCTION("""COMPUTED_VALUE"""),35.24)</f>
        <v>35.24</v>
      </c>
      <c r="F3452" s="1">
        <f>IFERROR(__xludf.DUMMYFUNCTION("""COMPUTED_VALUE"""),492356.0)</f>
        <v>492356</v>
      </c>
    </row>
    <row r="3453">
      <c r="A3453" s="2">
        <f>IFERROR(__xludf.DUMMYFUNCTION("""COMPUTED_VALUE"""),45191.66666666667)</f>
        <v>45191.66667</v>
      </c>
      <c r="B3453" s="1">
        <f>IFERROR(__xludf.DUMMYFUNCTION("""COMPUTED_VALUE"""),35.37)</f>
        <v>35.37</v>
      </c>
      <c r="C3453" s="1">
        <f>IFERROR(__xludf.DUMMYFUNCTION("""COMPUTED_VALUE"""),35.6)</f>
        <v>35.6</v>
      </c>
      <c r="D3453" s="1">
        <f>IFERROR(__xludf.DUMMYFUNCTION("""COMPUTED_VALUE"""),34.75)</f>
        <v>34.75</v>
      </c>
      <c r="E3453" s="1">
        <f>IFERROR(__xludf.DUMMYFUNCTION("""COMPUTED_VALUE"""),34.82)</f>
        <v>34.82</v>
      </c>
      <c r="F3453" s="1">
        <f>IFERROR(__xludf.DUMMYFUNCTION("""COMPUTED_VALUE"""),351808.0)</f>
        <v>351808</v>
      </c>
    </row>
    <row r="3454">
      <c r="A3454" s="2">
        <f>IFERROR(__xludf.DUMMYFUNCTION("""COMPUTED_VALUE"""),45194.66666666667)</f>
        <v>45194.66667</v>
      </c>
      <c r="B3454" s="1">
        <f>IFERROR(__xludf.DUMMYFUNCTION("""COMPUTED_VALUE"""),34.78)</f>
        <v>34.78</v>
      </c>
      <c r="C3454" s="1">
        <f>IFERROR(__xludf.DUMMYFUNCTION("""COMPUTED_VALUE"""),35.4)</f>
        <v>35.4</v>
      </c>
      <c r="D3454" s="1">
        <f>IFERROR(__xludf.DUMMYFUNCTION("""COMPUTED_VALUE"""),34.65)</f>
        <v>34.65</v>
      </c>
      <c r="E3454" s="1">
        <f>IFERROR(__xludf.DUMMYFUNCTION("""COMPUTED_VALUE"""),35.28)</f>
        <v>35.28</v>
      </c>
      <c r="F3454" s="1">
        <f>IFERROR(__xludf.DUMMYFUNCTION("""COMPUTED_VALUE"""),334939.0)</f>
        <v>334939</v>
      </c>
    </row>
    <row r="3455">
      <c r="A3455" s="2">
        <f>IFERROR(__xludf.DUMMYFUNCTION("""COMPUTED_VALUE"""),45195.66666666667)</f>
        <v>45195.66667</v>
      </c>
      <c r="B3455" s="1">
        <f>IFERROR(__xludf.DUMMYFUNCTION("""COMPUTED_VALUE"""),34.91)</f>
        <v>34.91</v>
      </c>
      <c r="C3455" s="1">
        <f>IFERROR(__xludf.DUMMYFUNCTION("""COMPUTED_VALUE"""),35.48)</f>
        <v>35.48</v>
      </c>
      <c r="D3455" s="1">
        <f>IFERROR(__xludf.DUMMYFUNCTION("""COMPUTED_VALUE"""),34.49)</f>
        <v>34.49</v>
      </c>
      <c r="E3455" s="1">
        <f>IFERROR(__xludf.DUMMYFUNCTION("""COMPUTED_VALUE"""),34.52)</f>
        <v>34.52</v>
      </c>
      <c r="F3455" s="1">
        <f>IFERROR(__xludf.DUMMYFUNCTION("""COMPUTED_VALUE"""),536269.0)</f>
        <v>536269</v>
      </c>
    </row>
    <row r="3456">
      <c r="A3456" s="2">
        <f>IFERROR(__xludf.DUMMYFUNCTION("""COMPUTED_VALUE"""),45196.66666666667)</f>
        <v>45196.66667</v>
      </c>
      <c r="B3456" s="1">
        <f>IFERROR(__xludf.DUMMYFUNCTION("""COMPUTED_VALUE"""),34.65)</f>
        <v>34.65</v>
      </c>
      <c r="C3456" s="1">
        <f>IFERROR(__xludf.DUMMYFUNCTION("""COMPUTED_VALUE"""),34.78)</f>
        <v>34.78</v>
      </c>
      <c r="D3456" s="1">
        <f>IFERROR(__xludf.DUMMYFUNCTION("""COMPUTED_VALUE"""),34.02)</f>
        <v>34.02</v>
      </c>
      <c r="E3456" s="1">
        <f>IFERROR(__xludf.DUMMYFUNCTION("""COMPUTED_VALUE"""),34.29)</f>
        <v>34.29</v>
      </c>
      <c r="F3456" s="1">
        <f>IFERROR(__xludf.DUMMYFUNCTION("""COMPUTED_VALUE"""),427924.0)</f>
        <v>427924</v>
      </c>
    </row>
    <row r="3457">
      <c r="A3457" s="2">
        <f>IFERROR(__xludf.DUMMYFUNCTION("""COMPUTED_VALUE"""),45197.66666666667)</f>
        <v>45197.66667</v>
      </c>
      <c r="B3457" s="1">
        <f>IFERROR(__xludf.DUMMYFUNCTION("""COMPUTED_VALUE"""),34.21)</f>
        <v>34.21</v>
      </c>
      <c r="C3457" s="1">
        <f>IFERROR(__xludf.DUMMYFUNCTION("""COMPUTED_VALUE"""),34.85)</f>
        <v>34.85</v>
      </c>
      <c r="D3457" s="1">
        <f>IFERROR(__xludf.DUMMYFUNCTION("""COMPUTED_VALUE"""),34.02)</f>
        <v>34.02</v>
      </c>
      <c r="E3457" s="1">
        <f>IFERROR(__xludf.DUMMYFUNCTION("""COMPUTED_VALUE"""),34.15)</f>
        <v>34.15</v>
      </c>
      <c r="F3457" s="1">
        <f>IFERROR(__xludf.DUMMYFUNCTION("""COMPUTED_VALUE"""),714758.0)</f>
        <v>714758</v>
      </c>
    </row>
    <row r="3458">
      <c r="A3458" s="2">
        <f>IFERROR(__xludf.DUMMYFUNCTION("""COMPUTED_VALUE"""),45198.66666666667)</f>
        <v>45198.66667</v>
      </c>
      <c r="B3458" s="1">
        <f>IFERROR(__xludf.DUMMYFUNCTION("""COMPUTED_VALUE"""),34.47)</f>
        <v>34.47</v>
      </c>
      <c r="C3458" s="1">
        <f>IFERROR(__xludf.DUMMYFUNCTION("""COMPUTED_VALUE"""),35.0)</f>
        <v>35</v>
      </c>
      <c r="D3458" s="1">
        <f>IFERROR(__xludf.DUMMYFUNCTION("""COMPUTED_VALUE"""),34.26)</f>
        <v>34.26</v>
      </c>
      <c r="E3458" s="1">
        <f>IFERROR(__xludf.DUMMYFUNCTION("""COMPUTED_VALUE"""),34.76)</f>
        <v>34.76</v>
      </c>
      <c r="F3458" s="1">
        <f>IFERROR(__xludf.DUMMYFUNCTION("""COMPUTED_VALUE"""),423826.0)</f>
        <v>423826</v>
      </c>
    </row>
    <row r="3459">
      <c r="A3459" s="2">
        <f>IFERROR(__xludf.DUMMYFUNCTION("""COMPUTED_VALUE"""),45201.66666666667)</f>
        <v>45201.66667</v>
      </c>
      <c r="B3459" s="1">
        <f>IFERROR(__xludf.DUMMYFUNCTION("""COMPUTED_VALUE"""),34.59)</f>
        <v>34.59</v>
      </c>
      <c r="C3459" s="1">
        <f>IFERROR(__xludf.DUMMYFUNCTION("""COMPUTED_VALUE"""),34.8)</f>
        <v>34.8</v>
      </c>
      <c r="D3459" s="1">
        <f>IFERROR(__xludf.DUMMYFUNCTION("""COMPUTED_VALUE"""),34.07)</f>
        <v>34.07</v>
      </c>
      <c r="E3459" s="1">
        <f>IFERROR(__xludf.DUMMYFUNCTION("""COMPUTED_VALUE"""),34.26)</f>
        <v>34.26</v>
      </c>
      <c r="F3459" s="1">
        <f>IFERROR(__xludf.DUMMYFUNCTION("""COMPUTED_VALUE"""),382681.0)</f>
        <v>382681</v>
      </c>
    </row>
    <row r="3460">
      <c r="A3460" s="2">
        <f>IFERROR(__xludf.DUMMYFUNCTION("""COMPUTED_VALUE"""),45202.66666666667)</f>
        <v>45202.66667</v>
      </c>
      <c r="B3460" s="1">
        <f>IFERROR(__xludf.DUMMYFUNCTION("""COMPUTED_VALUE"""),34.04)</f>
        <v>34.04</v>
      </c>
      <c r="C3460" s="1">
        <f>IFERROR(__xludf.DUMMYFUNCTION("""COMPUTED_VALUE"""),34.18)</f>
        <v>34.18</v>
      </c>
      <c r="D3460" s="1">
        <f>IFERROR(__xludf.DUMMYFUNCTION("""COMPUTED_VALUE"""),33.41)</f>
        <v>33.41</v>
      </c>
      <c r="E3460" s="1">
        <f>IFERROR(__xludf.DUMMYFUNCTION("""COMPUTED_VALUE"""),33.52)</f>
        <v>33.52</v>
      </c>
      <c r="F3460" s="1">
        <f>IFERROR(__xludf.DUMMYFUNCTION("""COMPUTED_VALUE"""),387639.0)</f>
        <v>387639</v>
      </c>
    </row>
    <row r="3461">
      <c r="A3461" s="2">
        <f>IFERROR(__xludf.DUMMYFUNCTION("""COMPUTED_VALUE"""),45203.66666666667)</f>
        <v>45203.66667</v>
      </c>
      <c r="B3461" s="1">
        <f>IFERROR(__xludf.DUMMYFUNCTION("""COMPUTED_VALUE"""),33.65)</f>
        <v>33.65</v>
      </c>
      <c r="C3461" s="1">
        <f>IFERROR(__xludf.DUMMYFUNCTION("""COMPUTED_VALUE"""),33.8)</f>
        <v>33.8</v>
      </c>
      <c r="D3461" s="1">
        <f>IFERROR(__xludf.DUMMYFUNCTION("""COMPUTED_VALUE"""),33.06)</f>
        <v>33.06</v>
      </c>
      <c r="E3461" s="1">
        <f>IFERROR(__xludf.DUMMYFUNCTION("""COMPUTED_VALUE"""),33.66)</f>
        <v>33.66</v>
      </c>
      <c r="F3461" s="1">
        <f>IFERROR(__xludf.DUMMYFUNCTION("""COMPUTED_VALUE"""),535747.0)</f>
        <v>535747</v>
      </c>
    </row>
    <row r="3462">
      <c r="A3462" s="2">
        <f>IFERROR(__xludf.DUMMYFUNCTION("""COMPUTED_VALUE"""),45204.66666666667)</f>
        <v>45204.66667</v>
      </c>
      <c r="B3462" s="1">
        <f>IFERROR(__xludf.DUMMYFUNCTION("""COMPUTED_VALUE"""),33.51)</f>
        <v>33.51</v>
      </c>
      <c r="C3462" s="1">
        <f>IFERROR(__xludf.DUMMYFUNCTION("""COMPUTED_VALUE"""),34.52)</f>
        <v>34.52</v>
      </c>
      <c r="D3462" s="1">
        <f>IFERROR(__xludf.DUMMYFUNCTION("""COMPUTED_VALUE"""),33.51)</f>
        <v>33.51</v>
      </c>
      <c r="E3462" s="1">
        <f>IFERROR(__xludf.DUMMYFUNCTION("""COMPUTED_VALUE"""),34.39)</f>
        <v>34.39</v>
      </c>
      <c r="F3462" s="1">
        <f>IFERROR(__xludf.DUMMYFUNCTION("""COMPUTED_VALUE"""),381075.0)</f>
        <v>381075</v>
      </c>
    </row>
    <row r="3463">
      <c r="A3463" s="2">
        <f>IFERROR(__xludf.DUMMYFUNCTION("""COMPUTED_VALUE"""),45205.66666666667)</f>
        <v>45205.66667</v>
      </c>
      <c r="B3463" s="1">
        <f>IFERROR(__xludf.DUMMYFUNCTION("""COMPUTED_VALUE"""),34.02)</f>
        <v>34.02</v>
      </c>
      <c r="C3463" s="1">
        <f>IFERROR(__xludf.DUMMYFUNCTION("""COMPUTED_VALUE"""),35.04)</f>
        <v>35.04</v>
      </c>
      <c r="D3463" s="1">
        <f>IFERROR(__xludf.DUMMYFUNCTION("""COMPUTED_VALUE"""),33.76)</f>
        <v>33.76</v>
      </c>
      <c r="E3463" s="1">
        <f>IFERROR(__xludf.DUMMYFUNCTION("""COMPUTED_VALUE"""),34.67)</f>
        <v>34.67</v>
      </c>
      <c r="F3463" s="1">
        <f>IFERROR(__xludf.DUMMYFUNCTION("""COMPUTED_VALUE"""),286922.0)</f>
        <v>286922</v>
      </c>
    </row>
    <row r="3464">
      <c r="A3464" s="2">
        <f>IFERROR(__xludf.DUMMYFUNCTION("""COMPUTED_VALUE"""),45208.66666666667)</f>
        <v>45208.66667</v>
      </c>
      <c r="B3464" s="1">
        <f>IFERROR(__xludf.DUMMYFUNCTION("""COMPUTED_VALUE"""),34.41)</f>
        <v>34.41</v>
      </c>
      <c r="C3464" s="1">
        <f>IFERROR(__xludf.DUMMYFUNCTION("""COMPUTED_VALUE"""),35.19)</f>
        <v>35.19</v>
      </c>
      <c r="D3464" s="1">
        <f>IFERROR(__xludf.DUMMYFUNCTION("""COMPUTED_VALUE"""),34.34)</f>
        <v>34.34</v>
      </c>
      <c r="E3464" s="1">
        <f>IFERROR(__xludf.DUMMYFUNCTION("""COMPUTED_VALUE"""),34.92)</f>
        <v>34.92</v>
      </c>
      <c r="F3464" s="1">
        <f>IFERROR(__xludf.DUMMYFUNCTION("""COMPUTED_VALUE"""),358352.0)</f>
        <v>358352</v>
      </c>
    </row>
    <row r="3465">
      <c r="A3465" s="2">
        <f>IFERROR(__xludf.DUMMYFUNCTION("""COMPUTED_VALUE"""),45209.66666666667)</f>
        <v>45209.66667</v>
      </c>
      <c r="B3465" s="1">
        <f>IFERROR(__xludf.DUMMYFUNCTION("""COMPUTED_VALUE"""),35.11)</f>
        <v>35.11</v>
      </c>
      <c r="C3465" s="1">
        <f>IFERROR(__xludf.DUMMYFUNCTION("""COMPUTED_VALUE"""),35.52)</f>
        <v>35.52</v>
      </c>
      <c r="D3465" s="1">
        <f>IFERROR(__xludf.DUMMYFUNCTION("""COMPUTED_VALUE"""),35.07)</f>
        <v>35.07</v>
      </c>
      <c r="E3465" s="1">
        <f>IFERROR(__xludf.DUMMYFUNCTION("""COMPUTED_VALUE"""),35.26)</f>
        <v>35.26</v>
      </c>
      <c r="F3465" s="1">
        <f>IFERROR(__xludf.DUMMYFUNCTION("""COMPUTED_VALUE"""),269639.0)</f>
        <v>269639</v>
      </c>
    </row>
    <row r="3466">
      <c r="A3466" s="2">
        <f>IFERROR(__xludf.DUMMYFUNCTION("""COMPUTED_VALUE"""),45210.66666666667)</f>
        <v>45210.66667</v>
      </c>
      <c r="B3466" s="1">
        <f>IFERROR(__xludf.DUMMYFUNCTION("""COMPUTED_VALUE"""),35.3)</f>
        <v>35.3</v>
      </c>
      <c r="C3466" s="1">
        <f>IFERROR(__xludf.DUMMYFUNCTION("""COMPUTED_VALUE"""),35.79)</f>
        <v>35.79</v>
      </c>
      <c r="D3466" s="1">
        <f>IFERROR(__xludf.DUMMYFUNCTION("""COMPUTED_VALUE"""),35.1)</f>
        <v>35.1</v>
      </c>
      <c r="E3466" s="1">
        <f>IFERROR(__xludf.DUMMYFUNCTION("""COMPUTED_VALUE"""),35.31)</f>
        <v>35.31</v>
      </c>
      <c r="F3466" s="1">
        <f>IFERROR(__xludf.DUMMYFUNCTION("""COMPUTED_VALUE"""),276023.0)</f>
        <v>276023</v>
      </c>
    </row>
    <row r="3467">
      <c r="A3467" s="2">
        <f>IFERROR(__xludf.DUMMYFUNCTION("""COMPUTED_VALUE"""),45211.66666666667)</f>
        <v>45211.66667</v>
      </c>
      <c r="B3467" s="1">
        <f>IFERROR(__xludf.DUMMYFUNCTION("""COMPUTED_VALUE"""),35.33)</f>
        <v>35.33</v>
      </c>
      <c r="C3467" s="1">
        <f>IFERROR(__xludf.DUMMYFUNCTION("""COMPUTED_VALUE"""),35.33)</f>
        <v>35.33</v>
      </c>
      <c r="D3467" s="1">
        <f>IFERROR(__xludf.DUMMYFUNCTION("""COMPUTED_VALUE"""),34.67)</f>
        <v>34.67</v>
      </c>
      <c r="E3467" s="1">
        <f>IFERROR(__xludf.DUMMYFUNCTION("""COMPUTED_VALUE"""),35.06)</f>
        <v>35.06</v>
      </c>
      <c r="F3467" s="1">
        <f>IFERROR(__xludf.DUMMYFUNCTION("""COMPUTED_VALUE"""),285971.0)</f>
        <v>285971</v>
      </c>
    </row>
    <row r="3468">
      <c r="A3468" s="2">
        <f>IFERROR(__xludf.DUMMYFUNCTION("""COMPUTED_VALUE"""),45212.66666666667)</f>
        <v>45212.66667</v>
      </c>
      <c r="B3468" s="1">
        <f>IFERROR(__xludf.DUMMYFUNCTION("""COMPUTED_VALUE"""),35.38)</f>
        <v>35.38</v>
      </c>
      <c r="C3468" s="1">
        <f>IFERROR(__xludf.DUMMYFUNCTION("""COMPUTED_VALUE"""),35.38)</f>
        <v>35.38</v>
      </c>
      <c r="D3468" s="1">
        <f>IFERROR(__xludf.DUMMYFUNCTION("""COMPUTED_VALUE"""),34.16)</f>
        <v>34.16</v>
      </c>
      <c r="E3468" s="1">
        <f>IFERROR(__xludf.DUMMYFUNCTION("""COMPUTED_VALUE"""),34.25)</f>
        <v>34.25</v>
      </c>
      <c r="F3468" s="1">
        <f>IFERROR(__xludf.DUMMYFUNCTION("""COMPUTED_VALUE"""),260790.0)</f>
        <v>260790</v>
      </c>
    </row>
    <row r="3469">
      <c r="A3469" s="2">
        <f>IFERROR(__xludf.DUMMYFUNCTION("""COMPUTED_VALUE"""),45215.66666666667)</f>
        <v>45215.66667</v>
      </c>
      <c r="B3469" s="1">
        <f>IFERROR(__xludf.DUMMYFUNCTION("""COMPUTED_VALUE"""),34.62)</f>
        <v>34.62</v>
      </c>
      <c r="C3469" s="1">
        <f>IFERROR(__xludf.DUMMYFUNCTION("""COMPUTED_VALUE"""),34.91)</f>
        <v>34.91</v>
      </c>
      <c r="D3469" s="1">
        <f>IFERROR(__xludf.DUMMYFUNCTION("""COMPUTED_VALUE"""),34.39)</f>
        <v>34.39</v>
      </c>
      <c r="E3469" s="1">
        <f>IFERROR(__xludf.DUMMYFUNCTION("""COMPUTED_VALUE"""),34.78)</f>
        <v>34.78</v>
      </c>
      <c r="F3469" s="1">
        <f>IFERROR(__xludf.DUMMYFUNCTION("""COMPUTED_VALUE"""),965739.0)</f>
        <v>965739</v>
      </c>
    </row>
    <row r="3470">
      <c r="A3470" s="2">
        <f>IFERROR(__xludf.DUMMYFUNCTION("""COMPUTED_VALUE"""),45216.66666666667)</f>
        <v>45216.66667</v>
      </c>
      <c r="B3470" s="1">
        <f>IFERROR(__xludf.DUMMYFUNCTION("""COMPUTED_VALUE"""),34.55)</f>
        <v>34.55</v>
      </c>
      <c r="C3470" s="1">
        <f>IFERROR(__xludf.DUMMYFUNCTION("""COMPUTED_VALUE"""),35.95)</f>
        <v>35.95</v>
      </c>
      <c r="D3470" s="1">
        <f>IFERROR(__xludf.DUMMYFUNCTION("""COMPUTED_VALUE"""),34.55)</f>
        <v>34.55</v>
      </c>
      <c r="E3470" s="1">
        <f>IFERROR(__xludf.DUMMYFUNCTION("""COMPUTED_VALUE"""),35.74)</f>
        <v>35.74</v>
      </c>
      <c r="F3470" s="1">
        <f>IFERROR(__xludf.DUMMYFUNCTION("""COMPUTED_VALUE"""),379080.0)</f>
        <v>379080</v>
      </c>
    </row>
    <row r="3471">
      <c r="A3471" s="2">
        <f>IFERROR(__xludf.DUMMYFUNCTION("""COMPUTED_VALUE"""),45217.66666666667)</f>
        <v>45217.66667</v>
      </c>
      <c r="B3471" s="1">
        <f>IFERROR(__xludf.DUMMYFUNCTION("""COMPUTED_VALUE"""),35.56)</f>
        <v>35.56</v>
      </c>
      <c r="C3471" s="1">
        <f>IFERROR(__xludf.DUMMYFUNCTION("""COMPUTED_VALUE"""),35.56)</f>
        <v>35.56</v>
      </c>
      <c r="D3471" s="1">
        <f>IFERROR(__xludf.DUMMYFUNCTION("""COMPUTED_VALUE"""),34.6)</f>
        <v>34.6</v>
      </c>
      <c r="E3471" s="1">
        <f>IFERROR(__xludf.DUMMYFUNCTION("""COMPUTED_VALUE"""),34.65)</f>
        <v>34.65</v>
      </c>
      <c r="F3471" s="1">
        <f>IFERROR(__xludf.DUMMYFUNCTION("""COMPUTED_VALUE"""),276773.0)</f>
        <v>276773</v>
      </c>
    </row>
    <row r="3472">
      <c r="A3472" s="2">
        <f>IFERROR(__xludf.DUMMYFUNCTION("""COMPUTED_VALUE"""),45218.66666666667)</f>
        <v>45218.66667</v>
      </c>
      <c r="B3472" s="1">
        <f>IFERROR(__xludf.DUMMYFUNCTION("""COMPUTED_VALUE"""),34.58)</f>
        <v>34.58</v>
      </c>
      <c r="C3472" s="1">
        <f>IFERROR(__xludf.DUMMYFUNCTION("""COMPUTED_VALUE"""),35.17)</f>
        <v>35.17</v>
      </c>
      <c r="D3472" s="1">
        <f>IFERROR(__xludf.DUMMYFUNCTION("""COMPUTED_VALUE"""),34.08)</f>
        <v>34.08</v>
      </c>
      <c r="E3472" s="1">
        <f>IFERROR(__xludf.DUMMYFUNCTION("""COMPUTED_VALUE"""),34.17)</f>
        <v>34.17</v>
      </c>
      <c r="F3472" s="1">
        <f>IFERROR(__xludf.DUMMYFUNCTION("""COMPUTED_VALUE"""),793794.0)</f>
        <v>793794</v>
      </c>
    </row>
    <row r="3473">
      <c r="A3473" s="2">
        <f>IFERROR(__xludf.DUMMYFUNCTION("""COMPUTED_VALUE"""),45219.66666666667)</f>
        <v>45219.66667</v>
      </c>
      <c r="B3473" s="1">
        <f>IFERROR(__xludf.DUMMYFUNCTION("""COMPUTED_VALUE"""),34.2)</f>
        <v>34.2</v>
      </c>
      <c r="C3473" s="1">
        <f>IFERROR(__xludf.DUMMYFUNCTION("""COMPUTED_VALUE"""),34.2)</f>
        <v>34.2</v>
      </c>
      <c r="D3473" s="1">
        <f>IFERROR(__xludf.DUMMYFUNCTION("""COMPUTED_VALUE"""),33.28)</f>
        <v>33.28</v>
      </c>
      <c r="E3473" s="1">
        <f>IFERROR(__xludf.DUMMYFUNCTION("""COMPUTED_VALUE"""),33.36)</f>
        <v>33.36</v>
      </c>
      <c r="F3473" s="1">
        <f>IFERROR(__xludf.DUMMYFUNCTION("""COMPUTED_VALUE"""),419021.0)</f>
        <v>419021</v>
      </c>
    </row>
    <row r="3474">
      <c r="A3474" s="2">
        <f>IFERROR(__xludf.DUMMYFUNCTION("""COMPUTED_VALUE"""),45222.66666666667)</f>
        <v>45222.66667</v>
      </c>
      <c r="B3474" s="1">
        <f>IFERROR(__xludf.DUMMYFUNCTION("""COMPUTED_VALUE"""),33.24)</f>
        <v>33.24</v>
      </c>
      <c r="C3474" s="1">
        <f>IFERROR(__xludf.DUMMYFUNCTION("""COMPUTED_VALUE"""),33.92)</f>
        <v>33.92</v>
      </c>
      <c r="D3474" s="1">
        <f>IFERROR(__xludf.DUMMYFUNCTION("""COMPUTED_VALUE"""),33.08)</f>
        <v>33.08</v>
      </c>
      <c r="E3474" s="1">
        <f>IFERROR(__xludf.DUMMYFUNCTION("""COMPUTED_VALUE"""),33.31)</f>
        <v>33.31</v>
      </c>
      <c r="F3474" s="1">
        <f>IFERROR(__xludf.DUMMYFUNCTION("""COMPUTED_VALUE"""),367451.0)</f>
        <v>367451</v>
      </c>
    </row>
    <row r="3475">
      <c r="A3475" s="2">
        <f>IFERROR(__xludf.DUMMYFUNCTION("""COMPUTED_VALUE"""),45223.66666666667)</f>
        <v>45223.66667</v>
      </c>
      <c r="B3475" s="1">
        <f>IFERROR(__xludf.DUMMYFUNCTION("""COMPUTED_VALUE"""),33.23)</f>
        <v>33.23</v>
      </c>
      <c r="C3475" s="1">
        <f>IFERROR(__xludf.DUMMYFUNCTION("""COMPUTED_VALUE"""),33.6)</f>
        <v>33.6</v>
      </c>
      <c r="D3475" s="1">
        <f>IFERROR(__xludf.DUMMYFUNCTION("""COMPUTED_VALUE"""),32.33)</f>
        <v>32.33</v>
      </c>
      <c r="E3475" s="1">
        <f>IFERROR(__xludf.DUMMYFUNCTION("""COMPUTED_VALUE"""),33.01)</f>
        <v>33.01</v>
      </c>
      <c r="F3475" s="1">
        <f>IFERROR(__xludf.DUMMYFUNCTION("""COMPUTED_VALUE"""),442506.0)</f>
        <v>442506</v>
      </c>
    </row>
    <row r="3476">
      <c r="A3476" s="2">
        <f>IFERROR(__xludf.DUMMYFUNCTION("""COMPUTED_VALUE"""),45224.66666666667)</f>
        <v>45224.66667</v>
      </c>
      <c r="B3476" s="1">
        <f>IFERROR(__xludf.DUMMYFUNCTION("""COMPUTED_VALUE"""),32.71)</f>
        <v>32.71</v>
      </c>
      <c r="C3476" s="1">
        <f>IFERROR(__xludf.DUMMYFUNCTION("""COMPUTED_VALUE"""),33.18)</f>
        <v>33.18</v>
      </c>
      <c r="D3476" s="1">
        <f>IFERROR(__xludf.DUMMYFUNCTION("""COMPUTED_VALUE"""),32.08)</f>
        <v>32.08</v>
      </c>
      <c r="E3476" s="1">
        <f>IFERROR(__xludf.DUMMYFUNCTION("""COMPUTED_VALUE"""),32.82)</f>
        <v>32.82</v>
      </c>
      <c r="F3476" s="1">
        <f>IFERROR(__xludf.DUMMYFUNCTION("""COMPUTED_VALUE"""),341146.0)</f>
        <v>341146</v>
      </c>
    </row>
    <row r="3477">
      <c r="A3477" s="2">
        <f>IFERROR(__xludf.DUMMYFUNCTION("""COMPUTED_VALUE"""),45225.66666666667)</f>
        <v>45225.66667</v>
      </c>
      <c r="B3477" s="1">
        <f>IFERROR(__xludf.DUMMYFUNCTION("""COMPUTED_VALUE"""),33.02)</f>
        <v>33.02</v>
      </c>
      <c r="C3477" s="1">
        <f>IFERROR(__xludf.DUMMYFUNCTION("""COMPUTED_VALUE"""),33.74)</f>
        <v>33.74</v>
      </c>
      <c r="D3477" s="1">
        <f>IFERROR(__xludf.DUMMYFUNCTION("""COMPUTED_VALUE"""),32.96)</f>
        <v>32.96</v>
      </c>
      <c r="E3477" s="1">
        <f>IFERROR(__xludf.DUMMYFUNCTION("""COMPUTED_VALUE"""),33.65)</f>
        <v>33.65</v>
      </c>
      <c r="F3477" s="1">
        <f>IFERROR(__xludf.DUMMYFUNCTION("""COMPUTED_VALUE"""),363511.0)</f>
        <v>363511</v>
      </c>
    </row>
    <row r="3478">
      <c r="A3478" s="2">
        <f>IFERROR(__xludf.DUMMYFUNCTION("""COMPUTED_VALUE"""),45226.66666666667)</f>
        <v>45226.66667</v>
      </c>
      <c r="B3478" s="1">
        <f>IFERROR(__xludf.DUMMYFUNCTION("""COMPUTED_VALUE"""),33.55)</f>
        <v>33.55</v>
      </c>
      <c r="C3478" s="1">
        <f>IFERROR(__xludf.DUMMYFUNCTION("""COMPUTED_VALUE"""),33.62)</f>
        <v>33.62</v>
      </c>
      <c r="D3478" s="1">
        <f>IFERROR(__xludf.DUMMYFUNCTION("""COMPUTED_VALUE"""),32.83)</f>
        <v>32.83</v>
      </c>
      <c r="E3478" s="1">
        <f>IFERROR(__xludf.DUMMYFUNCTION("""COMPUTED_VALUE"""),33.47)</f>
        <v>33.47</v>
      </c>
      <c r="F3478" s="1">
        <f>IFERROR(__xludf.DUMMYFUNCTION("""COMPUTED_VALUE"""),409854.0)</f>
        <v>409854</v>
      </c>
    </row>
    <row r="3479">
      <c r="A3479" s="2">
        <f>IFERROR(__xludf.DUMMYFUNCTION("""COMPUTED_VALUE"""),45229.66666666667)</f>
        <v>45229.66667</v>
      </c>
      <c r="B3479" s="1">
        <f>IFERROR(__xludf.DUMMYFUNCTION("""COMPUTED_VALUE"""),33.86)</f>
        <v>33.86</v>
      </c>
      <c r="C3479" s="1">
        <f>IFERROR(__xludf.DUMMYFUNCTION("""COMPUTED_VALUE"""),34.12)</f>
        <v>34.12</v>
      </c>
      <c r="D3479" s="1">
        <f>IFERROR(__xludf.DUMMYFUNCTION("""COMPUTED_VALUE"""),33.56)</f>
        <v>33.56</v>
      </c>
      <c r="E3479" s="1">
        <f>IFERROR(__xludf.DUMMYFUNCTION("""COMPUTED_VALUE"""),33.88)</f>
        <v>33.88</v>
      </c>
      <c r="F3479" s="1">
        <f>IFERROR(__xludf.DUMMYFUNCTION("""COMPUTED_VALUE"""),293806.0)</f>
        <v>293806</v>
      </c>
    </row>
    <row r="3480">
      <c r="A3480" s="2">
        <f>IFERROR(__xludf.DUMMYFUNCTION("""COMPUTED_VALUE"""),45230.66666666667)</f>
        <v>45230.66667</v>
      </c>
      <c r="B3480" s="1">
        <f>IFERROR(__xludf.DUMMYFUNCTION("""COMPUTED_VALUE"""),34.01)</f>
        <v>34.01</v>
      </c>
      <c r="C3480" s="1">
        <f>IFERROR(__xludf.DUMMYFUNCTION("""COMPUTED_VALUE"""),34.17)</f>
        <v>34.17</v>
      </c>
      <c r="D3480" s="1">
        <f>IFERROR(__xludf.DUMMYFUNCTION("""COMPUTED_VALUE"""),33.78)</f>
        <v>33.78</v>
      </c>
      <c r="E3480" s="1">
        <f>IFERROR(__xludf.DUMMYFUNCTION("""COMPUTED_VALUE"""),33.91)</f>
        <v>33.91</v>
      </c>
      <c r="F3480" s="1">
        <f>IFERROR(__xludf.DUMMYFUNCTION("""COMPUTED_VALUE"""),199660.0)</f>
        <v>199660</v>
      </c>
    </row>
    <row r="3481">
      <c r="A3481" s="2">
        <f>IFERROR(__xludf.DUMMYFUNCTION("""COMPUTED_VALUE"""),45231.66666666667)</f>
        <v>45231.66667</v>
      </c>
      <c r="B3481" s="1">
        <f>IFERROR(__xludf.DUMMYFUNCTION("""COMPUTED_VALUE"""),33.84)</f>
        <v>33.84</v>
      </c>
      <c r="C3481" s="1">
        <f>IFERROR(__xludf.DUMMYFUNCTION("""COMPUTED_VALUE"""),34.43)</f>
        <v>34.43</v>
      </c>
      <c r="D3481" s="1">
        <f>IFERROR(__xludf.DUMMYFUNCTION("""COMPUTED_VALUE"""),33.55)</f>
        <v>33.55</v>
      </c>
      <c r="E3481" s="1">
        <f>IFERROR(__xludf.DUMMYFUNCTION("""COMPUTED_VALUE"""),34.42)</f>
        <v>34.42</v>
      </c>
      <c r="F3481" s="1">
        <f>IFERROR(__xludf.DUMMYFUNCTION("""COMPUTED_VALUE"""),265859.0)</f>
        <v>265859</v>
      </c>
    </row>
    <row r="3482">
      <c r="A3482" s="2">
        <f>IFERROR(__xludf.DUMMYFUNCTION("""COMPUTED_VALUE"""),45232.66666666667)</f>
        <v>45232.66667</v>
      </c>
      <c r="B3482" s="1">
        <f>IFERROR(__xludf.DUMMYFUNCTION("""COMPUTED_VALUE"""),34.61)</f>
        <v>34.61</v>
      </c>
      <c r="C3482" s="1">
        <f>IFERROR(__xludf.DUMMYFUNCTION("""COMPUTED_VALUE"""),35.96)</f>
        <v>35.96</v>
      </c>
      <c r="D3482" s="1">
        <f>IFERROR(__xludf.DUMMYFUNCTION("""COMPUTED_VALUE"""),34.61)</f>
        <v>34.61</v>
      </c>
      <c r="E3482" s="1">
        <f>IFERROR(__xludf.DUMMYFUNCTION("""COMPUTED_VALUE"""),35.89)</f>
        <v>35.89</v>
      </c>
      <c r="F3482" s="1">
        <f>IFERROR(__xludf.DUMMYFUNCTION("""COMPUTED_VALUE"""),307754.0)</f>
        <v>307754</v>
      </c>
    </row>
    <row r="3483">
      <c r="A3483" s="2">
        <f>IFERROR(__xludf.DUMMYFUNCTION("""COMPUTED_VALUE"""),45233.66666666667)</f>
        <v>45233.66667</v>
      </c>
      <c r="B3483" s="1">
        <f>IFERROR(__xludf.DUMMYFUNCTION("""COMPUTED_VALUE"""),36.95)</f>
        <v>36.95</v>
      </c>
      <c r="C3483" s="1">
        <f>IFERROR(__xludf.DUMMYFUNCTION("""COMPUTED_VALUE"""),37.77)</f>
        <v>37.77</v>
      </c>
      <c r="D3483" s="1">
        <f>IFERROR(__xludf.DUMMYFUNCTION("""COMPUTED_VALUE"""),36.95)</f>
        <v>36.95</v>
      </c>
      <c r="E3483" s="1">
        <f>IFERROR(__xludf.DUMMYFUNCTION("""COMPUTED_VALUE"""),37.23)</f>
        <v>37.23</v>
      </c>
      <c r="F3483" s="1">
        <f>IFERROR(__xludf.DUMMYFUNCTION("""COMPUTED_VALUE"""),320055.0)</f>
        <v>320055</v>
      </c>
    </row>
    <row r="3484">
      <c r="A3484" s="2">
        <f>IFERROR(__xludf.DUMMYFUNCTION("""COMPUTED_VALUE"""),45236.66666666667)</f>
        <v>45236.66667</v>
      </c>
      <c r="B3484" s="1">
        <f>IFERROR(__xludf.DUMMYFUNCTION("""COMPUTED_VALUE"""),36.37)</f>
        <v>36.37</v>
      </c>
      <c r="C3484" s="1">
        <f>IFERROR(__xludf.DUMMYFUNCTION("""COMPUTED_VALUE"""),36.98)</f>
        <v>36.98</v>
      </c>
      <c r="D3484" s="1">
        <f>IFERROR(__xludf.DUMMYFUNCTION("""COMPUTED_VALUE"""),36.14)</f>
        <v>36.14</v>
      </c>
      <c r="E3484" s="1">
        <f>IFERROR(__xludf.DUMMYFUNCTION("""COMPUTED_VALUE"""),36.78)</f>
        <v>36.78</v>
      </c>
      <c r="F3484" s="1">
        <f>IFERROR(__xludf.DUMMYFUNCTION("""COMPUTED_VALUE"""),359969.0)</f>
        <v>359969</v>
      </c>
    </row>
    <row r="3485">
      <c r="A3485" s="2">
        <f>IFERROR(__xludf.DUMMYFUNCTION("""COMPUTED_VALUE"""),45237.66666666667)</f>
        <v>45237.66667</v>
      </c>
      <c r="B3485" s="1">
        <f>IFERROR(__xludf.DUMMYFUNCTION("""COMPUTED_VALUE"""),36.62)</f>
        <v>36.62</v>
      </c>
      <c r="C3485" s="1">
        <f>IFERROR(__xludf.DUMMYFUNCTION("""COMPUTED_VALUE"""),36.62)</f>
        <v>36.62</v>
      </c>
      <c r="D3485" s="1">
        <f>IFERROR(__xludf.DUMMYFUNCTION("""COMPUTED_VALUE"""),36.07)</f>
        <v>36.07</v>
      </c>
      <c r="E3485" s="1">
        <f>IFERROR(__xludf.DUMMYFUNCTION("""COMPUTED_VALUE"""),36.13)</f>
        <v>36.13</v>
      </c>
      <c r="F3485" s="1">
        <f>IFERROR(__xludf.DUMMYFUNCTION("""COMPUTED_VALUE"""),263410.0)</f>
        <v>263410</v>
      </c>
    </row>
    <row r="3486">
      <c r="A3486" s="2">
        <f>IFERROR(__xludf.DUMMYFUNCTION("""COMPUTED_VALUE"""),45238.66666666667)</f>
        <v>45238.66667</v>
      </c>
      <c r="B3486" s="1">
        <f>IFERROR(__xludf.DUMMYFUNCTION("""COMPUTED_VALUE"""),36.13)</f>
        <v>36.13</v>
      </c>
      <c r="C3486" s="1">
        <f>IFERROR(__xludf.DUMMYFUNCTION("""COMPUTED_VALUE"""),36.13)</f>
        <v>36.13</v>
      </c>
      <c r="D3486" s="1">
        <f>IFERROR(__xludf.DUMMYFUNCTION("""COMPUTED_VALUE"""),34.89)</f>
        <v>34.89</v>
      </c>
      <c r="E3486" s="1">
        <f>IFERROR(__xludf.DUMMYFUNCTION("""COMPUTED_VALUE"""),35.06)</f>
        <v>35.06</v>
      </c>
      <c r="F3486" s="1">
        <f>IFERROR(__xludf.DUMMYFUNCTION("""COMPUTED_VALUE"""),261211.0)</f>
        <v>261211</v>
      </c>
    </row>
    <row r="3487">
      <c r="A3487" s="2">
        <f>IFERROR(__xludf.DUMMYFUNCTION("""COMPUTED_VALUE"""),45239.66666666667)</f>
        <v>45239.66667</v>
      </c>
      <c r="B3487" s="1">
        <f>IFERROR(__xludf.DUMMYFUNCTION("""COMPUTED_VALUE"""),35.24)</f>
        <v>35.24</v>
      </c>
      <c r="C3487" s="1">
        <f>IFERROR(__xludf.DUMMYFUNCTION("""COMPUTED_VALUE"""),35.88)</f>
        <v>35.88</v>
      </c>
      <c r="D3487" s="1">
        <f>IFERROR(__xludf.DUMMYFUNCTION("""COMPUTED_VALUE"""),34.7)</f>
        <v>34.7</v>
      </c>
      <c r="E3487" s="1">
        <f>IFERROR(__xludf.DUMMYFUNCTION("""COMPUTED_VALUE"""),34.96)</f>
        <v>34.96</v>
      </c>
      <c r="F3487" s="1">
        <f>IFERROR(__xludf.DUMMYFUNCTION("""COMPUTED_VALUE"""),368918.0)</f>
        <v>368918</v>
      </c>
    </row>
    <row r="3488">
      <c r="A3488" s="2">
        <f>IFERROR(__xludf.DUMMYFUNCTION("""COMPUTED_VALUE"""),45240.66666666667)</f>
        <v>45240.66667</v>
      </c>
      <c r="B3488" s="1">
        <f>IFERROR(__xludf.DUMMYFUNCTION("""COMPUTED_VALUE"""),35.09)</f>
        <v>35.09</v>
      </c>
      <c r="C3488" s="1">
        <f>IFERROR(__xludf.DUMMYFUNCTION("""COMPUTED_VALUE"""),35.4)</f>
        <v>35.4</v>
      </c>
      <c r="D3488" s="1">
        <f>IFERROR(__xludf.DUMMYFUNCTION("""COMPUTED_VALUE"""),34.37)</f>
        <v>34.37</v>
      </c>
      <c r="E3488" s="1">
        <f>IFERROR(__xludf.DUMMYFUNCTION("""COMPUTED_VALUE"""),34.96)</f>
        <v>34.96</v>
      </c>
      <c r="F3488" s="1">
        <f>IFERROR(__xludf.DUMMYFUNCTION("""COMPUTED_VALUE"""),257932.0)</f>
        <v>257932</v>
      </c>
    </row>
    <row r="3489">
      <c r="A3489" s="2">
        <f>IFERROR(__xludf.DUMMYFUNCTION("""COMPUTED_VALUE"""),45243.66666666667)</f>
        <v>45243.66667</v>
      </c>
      <c r="B3489" s="1">
        <f>IFERROR(__xludf.DUMMYFUNCTION("""COMPUTED_VALUE"""),34.75)</f>
        <v>34.75</v>
      </c>
      <c r="C3489" s="1">
        <f>IFERROR(__xludf.DUMMYFUNCTION("""COMPUTED_VALUE"""),35.06)</f>
        <v>35.06</v>
      </c>
      <c r="D3489" s="1">
        <f>IFERROR(__xludf.DUMMYFUNCTION("""COMPUTED_VALUE"""),34.46)</f>
        <v>34.46</v>
      </c>
      <c r="E3489" s="1">
        <f>IFERROR(__xludf.DUMMYFUNCTION("""COMPUTED_VALUE"""),34.77)</f>
        <v>34.77</v>
      </c>
      <c r="F3489" s="1">
        <f>IFERROR(__xludf.DUMMYFUNCTION("""COMPUTED_VALUE"""),223507.0)</f>
        <v>223507</v>
      </c>
    </row>
    <row r="3490">
      <c r="A3490" s="2">
        <f>IFERROR(__xludf.DUMMYFUNCTION("""COMPUTED_VALUE"""),45244.66666666667)</f>
        <v>45244.66667</v>
      </c>
      <c r="B3490" s="1">
        <f>IFERROR(__xludf.DUMMYFUNCTION("""COMPUTED_VALUE"""),36.12)</f>
        <v>36.12</v>
      </c>
      <c r="C3490" s="1">
        <f>IFERROR(__xludf.DUMMYFUNCTION("""COMPUTED_VALUE"""),37.89)</f>
        <v>37.89</v>
      </c>
      <c r="D3490" s="1">
        <f>IFERROR(__xludf.DUMMYFUNCTION("""COMPUTED_VALUE"""),36.0)</f>
        <v>36</v>
      </c>
      <c r="E3490" s="1">
        <f>IFERROR(__xludf.DUMMYFUNCTION("""COMPUTED_VALUE"""),37.43)</f>
        <v>37.43</v>
      </c>
      <c r="F3490" s="1">
        <f>IFERROR(__xludf.DUMMYFUNCTION("""COMPUTED_VALUE"""),557126.0)</f>
        <v>557126</v>
      </c>
    </row>
    <row r="3491">
      <c r="A3491" s="2">
        <f>IFERROR(__xludf.DUMMYFUNCTION("""COMPUTED_VALUE"""),45245.66666666667)</f>
        <v>45245.66667</v>
      </c>
      <c r="B3491" s="1">
        <f>IFERROR(__xludf.DUMMYFUNCTION("""COMPUTED_VALUE"""),37.36)</f>
        <v>37.36</v>
      </c>
      <c r="C3491" s="1">
        <f>IFERROR(__xludf.DUMMYFUNCTION("""COMPUTED_VALUE"""),38.0)</f>
        <v>38</v>
      </c>
      <c r="D3491" s="1">
        <f>IFERROR(__xludf.DUMMYFUNCTION("""COMPUTED_VALUE"""),37.31)</f>
        <v>37.31</v>
      </c>
      <c r="E3491" s="1">
        <f>IFERROR(__xludf.DUMMYFUNCTION("""COMPUTED_VALUE"""),37.57)</f>
        <v>37.57</v>
      </c>
      <c r="F3491" s="1">
        <f>IFERROR(__xludf.DUMMYFUNCTION("""COMPUTED_VALUE"""),341909.0)</f>
        <v>341909</v>
      </c>
    </row>
    <row r="3492">
      <c r="A3492" s="2">
        <f>IFERROR(__xludf.DUMMYFUNCTION("""COMPUTED_VALUE"""),45246.66666666667)</f>
        <v>45246.66667</v>
      </c>
      <c r="B3492" s="1">
        <f>IFERROR(__xludf.DUMMYFUNCTION("""COMPUTED_VALUE"""),36.72)</f>
        <v>36.72</v>
      </c>
      <c r="C3492" s="1">
        <f>IFERROR(__xludf.DUMMYFUNCTION("""COMPUTED_VALUE"""),37.32)</f>
        <v>37.32</v>
      </c>
      <c r="D3492" s="1">
        <f>IFERROR(__xludf.DUMMYFUNCTION("""COMPUTED_VALUE"""),36.48)</f>
        <v>36.48</v>
      </c>
      <c r="E3492" s="1">
        <f>IFERROR(__xludf.DUMMYFUNCTION("""COMPUTED_VALUE"""),36.88)</f>
        <v>36.88</v>
      </c>
      <c r="F3492" s="1">
        <f>IFERROR(__xludf.DUMMYFUNCTION("""COMPUTED_VALUE"""),241152.0)</f>
        <v>241152</v>
      </c>
    </row>
    <row r="3493">
      <c r="A3493" s="2">
        <f>IFERROR(__xludf.DUMMYFUNCTION("""COMPUTED_VALUE"""),45247.66666666667)</f>
        <v>45247.66667</v>
      </c>
      <c r="B3493" s="1">
        <f>IFERROR(__xludf.DUMMYFUNCTION("""COMPUTED_VALUE"""),37.36)</f>
        <v>37.36</v>
      </c>
      <c r="C3493" s="1">
        <f>IFERROR(__xludf.DUMMYFUNCTION("""COMPUTED_VALUE"""),37.63)</f>
        <v>37.63</v>
      </c>
      <c r="D3493" s="1">
        <f>IFERROR(__xludf.DUMMYFUNCTION("""COMPUTED_VALUE"""),37.04)</f>
        <v>37.04</v>
      </c>
      <c r="E3493" s="1">
        <f>IFERROR(__xludf.DUMMYFUNCTION("""COMPUTED_VALUE"""),37.37)</f>
        <v>37.37</v>
      </c>
      <c r="F3493" s="1">
        <f>IFERROR(__xludf.DUMMYFUNCTION("""COMPUTED_VALUE"""),269594.0)</f>
        <v>269594</v>
      </c>
    </row>
    <row r="3494">
      <c r="A3494" s="2">
        <f>IFERROR(__xludf.DUMMYFUNCTION("""COMPUTED_VALUE"""),45250.66666666667)</f>
        <v>45250.66667</v>
      </c>
      <c r="B3494" s="1">
        <f>IFERROR(__xludf.DUMMYFUNCTION("""COMPUTED_VALUE"""),37.37)</f>
        <v>37.37</v>
      </c>
      <c r="C3494" s="1">
        <f>IFERROR(__xludf.DUMMYFUNCTION("""COMPUTED_VALUE"""),37.37)</f>
        <v>37.37</v>
      </c>
      <c r="D3494" s="1">
        <f>IFERROR(__xludf.DUMMYFUNCTION("""COMPUTED_VALUE"""),36.94)</f>
        <v>36.94</v>
      </c>
      <c r="E3494" s="1">
        <f>IFERROR(__xludf.DUMMYFUNCTION("""COMPUTED_VALUE"""),37.11)</f>
        <v>37.11</v>
      </c>
      <c r="F3494" s="1">
        <f>IFERROR(__xludf.DUMMYFUNCTION("""COMPUTED_VALUE"""),456266.0)</f>
        <v>456266</v>
      </c>
    </row>
    <row r="3495">
      <c r="A3495" s="2">
        <f>IFERROR(__xludf.DUMMYFUNCTION("""COMPUTED_VALUE"""),45251.66666666667)</f>
        <v>45251.66667</v>
      </c>
      <c r="B3495" s="1">
        <f>IFERROR(__xludf.DUMMYFUNCTION("""COMPUTED_VALUE"""),37.09)</f>
        <v>37.09</v>
      </c>
      <c r="C3495" s="1">
        <f>IFERROR(__xludf.DUMMYFUNCTION("""COMPUTED_VALUE"""),37.09)</f>
        <v>37.09</v>
      </c>
      <c r="D3495" s="1">
        <f>IFERROR(__xludf.DUMMYFUNCTION("""COMPUTED_VALUE"""),36.48)</f>
        <v>36.48</v>
      </c>
      <c r="E3495" s="1">
        <f>IFERROR(__xludf.DUMMYFUNCTION("""COMPUTED_VALUE"""),36.53)</f>
        <v>36.53</v>
      </c>
      <c r="F3495" s="1">
        <f>IFERROR(__xludf.DUMMYFUNCTION("""COMPUTED_VALUE"""),174505.0)</f>
        <v>174505</v>
      </c>
    </row>
    <row r="3496">
      <c r="A3496" s="2">
        <f>IFERROR(__xludf.DUMMYFUNCTION("""COMPUTED_VALUE"""),45252.66666666667)</f>
        <v>45252.66667</v>
      </c>
      <c r="B3496" s="1">
        <f>IFERROR(__xludf.DUMMYFUNCTION("""COMPUTED_VALUE"""),36.85)</f>
        <v>36.85</v>
      </c>
      <c r="C3496" s="1">
        <f>IFERROR(__xludf.DUMMYFUNCTION("""COMPUTED_VALUE"""),37.0)</f>
        <v>37</v>
      </c>
      <c r="D3496" s="1">
        <f>IFERROR(__xludf.DUMMYFUNCTION("""COMPUTED_VALUE"""),36.53)</f>
        <v>36.53</v>
      </c>
      <c r="E3496" s="1">
        <f>IFERROR(__xludf.DUMMYFUNCTION("""COMPUTED_VALUE"""),36.68)</f>
        <v>36.68</v>
      </c>
      <c r="F3496" s="1">
        <f>IFERROR(__xludf.DUMMYFUNCTION("""COMPUTED_VALUE"""),108671.0)</f>
        <v>108671</v>
      </c>
    </row>
    <row r="3497">
      <c r="A3497" s="2">
        <f>IFERROR(__xludf.DUMMYFUNCTION("""COMPUTED_VALUE"""),45254.54513888889)</f>
        <v>45254.54514</v>
      </c>
      <c r="B3497" s="1">
        <f>IFERROR(__xludf.DUMMYFUNCTION("""COMPUTED_VALUE"""),36.77)</f>
        <v>36.77</v>
      </c>
      <c r="C3497" s="1">
        <f>IFERROR(__xludf.DUMMYFUNCTION("""COMPUTED_VALUE"""),36.96)</f>
        <v>36.96</v>
      </c>
      <c r="D3497" s="1">
        <f>IFERROR(__xludf.DUMMYFUNCTION("""COMPUTED_VALUE"""),36.5)</f>
        <v>36.5</v>
      </c>
      <c r="E3497" s="1">
        <f>IFERROR(__xludf.DUMMYFUNCTION("""COMPUTED_VALUE"""),36.65)</f>
        <v>36.65</v>
      </c>
      <c r="F3497" s="1">
        <f>IFERROR(__xludf.DUMMYFUNCTION("""COMPUTED_VALUE"""),65679.0)</f>
        <v>65679</v>
      </c>
    </row>
    <row r="3498">
      <c r="A3498" s="2">
        <f>IFERROR(__xludf.DUMMYFUNCTION("""COMPUTED_VALUE"""),45257.66666666667)</f>
        <v>45257.66667</v>
      </c>
      <c r="B3498" s="1">
        <f>IFERROR(__xludf.DUMMYFUNCTION("""COMPUTED_VALUE"""),36.51)</f>
        <v>36.51</v>
      </c>
      <c r="C3498" s="1">
        <f>IFERROR(__xludf.DUMMYFUNCTION("""COMPUTED_VALUE"""),36.75)</f>
        <v>36.75</v>
      </c>
      <c r="D3498" s="1">
        <f>IFERROR(__xludf.DUMMYFUNCTION("""COMPUTED_VALUE"""),36.27)</f>
        <v>36.27</v>
      </c>
      <c r="E3498" s="1">
        <f>IFERROR(__xludf.DUMMYFUNCTION("""COMPUTED_VALUE"""),36.62)</f>
        <v>36.62</v>
      </c>
      <c r="F3498" s="1">
        <f>IFERROR(__xludf.DUMMYFUNCTION("""COMPUTED_VALUE"""),240342.0)</f>
        <v>240342</v>
      </c>
    </row>
    <row r="3499">
      <c r="A3499" s="2">
        <f>IFERROR(__xludf.DUMMYFUNCTION("""COMPUTED_VALUE"""),45258.66666666667)</f>
        <v>45258.66667</v>
      </c>
      <c r="B3499" s="1">
        <f>IFERROR(__xludf.DUMMYFUNCTION("""COMPUTED_VALUE"""),36.33)</f>
        <v>36.33</v>
      </c>
      <c r="C3499" s="1">
        <f>IFERROR(__xludf.DUMMYFUNCTION("""COMPUTED_VALUE"""),36.33)</f>
        <v>36.33</v>
      </c>
      <c r="D3499" s="1">
        <f>IFERROR(__xludf.DUMMYFUNCTION("""COMPUTED_VALUE"""),35.68)</f>
        <v>35.68</v>
      </c>
      <c r="E3499" s="1">
        <f>IFERROR(__xludf.DUMMYFUNCTION("""COMPUTED_VALUE"""),36.08)</f>
        <v>36.08</v>
      </c>
      <c r="F3499" s="1">
        <f>IFERROR(__xludf.DUMMYFUNCTION("""COMPUTED_VALUE"""),239083.0)</f>
        <v>239083</v>
      </c>
    </row>
    <row r="3500">
      <c r="A3500" s="2">
        <f>IFERROR(__xludf.DUMMYFUNCTION("""COMPUTED_VALUE"""),45259.66666666667)</f>
        <v>45259.66667</v>
      </c>
      <c r="B3500" s="1">
        <f>IFERROR(__xludf.DUMMYFUNCTION("""COMPUTED_VALUE"""),36.38)</f>
        <v>36.38</v>
      </c>
      <c r="C3500" s="1">
        <f>IFERROR(__xludf.DUMMYFUNCTION("""COMPUTED_VALUE"""),37.18)</f>
        <v>37.18</v>
      </c>
      <c r="D3500" s="1">
        <f>IFERROR(__xludf.DUMMYFUNCTION("""COMPUTED_VALUE"""),36.38)</f>
        <v>36.38</v>
      </c>
      <c r="E3500" s="1">
        <f>IFERROR(__xludf.DUMMYFUNCTION("""COMPUTED_VALUE"""),36.76)</f>
        <v>36.76</v>
      </c>
      <c r="F3500" s="1">
        <f>IFERROR(__xludf.DUMMYFUNCTION("""COMPUTED_VALUE"""),212618.0)</f>
        <v>212618</v>
      </c>
    </row>
    <row r="3501">
      <c r="A3501" s="2">
        <f>IFERROR(__xludf.DUMMYFUNCTION("""COMPUTED_VALUE"""),45260.66666666667)</f>
        <v>45260.66667</v>
      </c>
      <c r="B3501" s="1">
        <f>IFERROR(__xludf.DUMMYFUNCTION("""COMPUTED_VALUE"""),36.86)</f>
        <v>36.86</v>
      </c>
      <c r="C3501" s="1">
        <f>IFERROR(__xludf.DUMMYFUNCTION("""COMPUTED_VALUE"""),37.02)</f>
        <v>37.02</v>
      </c>
      <c r="D3501" s="1">
        <f>IFERROR(__xludf.DUMMYFUNCTION("""COMPUTED_VALUE"""),36.53)</f>
        <v>36.53</v>
      </c>
      <c r="E3501" s="1">
        <f>IFERROR(__xludf.DUMMYFUNCTION("""COMPUTED_VALUE"""),36.68)</f>
        <v>36.68</v>
      </c>
      <c r="F3501" s="1">
        <f>IFERROR(__xludf.DUMMYFUNCTION("""COMPUTED_VALUE"""),241719.0)</f>
        <v>241719</v>
      </c>
    </row>
    <row r="3502">
      <c r="A3502" s="2">
        <f>IFERROR(__xludf.DUMMYFUNCTION("""COMPUTED_VALUE"""),45261.66666666667)</f>
        <v>45261.66667</v>
      </c>
      <c r="B3502" s="1">
        <f>IFERROR(__xludf.DUMMYFUNCTION("""COMPUTED_VALUE"""),36.65)</f>
        <v>36.65</v>
      </c>
      <c r="C3502" s="1">
        <f>IFERROR(__xludf.DUMMYFUNCTION("""COMPUTED_VALUE"""),38.62)</f>
        <v>38.62</v>
      </c>
      <c r="D3502" s="1">
        <f>IFERROR(__xludf.DUMMYFUNCTION("""COMPUTED_VALUE"""),36.17)</f>
        <v>36.17</v>
      </c>
      <c r="E3502" s="1">
        <f>IFERROR(__xludf.DUMMYFUNCTION("""COMPUTED_VALUE"""),38.44)</f>
        <v>38.44</v>
      </c>
      <c r="F3502" s="1">
        <f>IFERROR(__xludf.DUMMYFUNCTION("""COMPUTED_VALUE"""),297670.0)</f>
        <v>297670</v>
      </c>
    </row>
    <row r="3503">
      <c r="A3503" s="2">
        <f>IFERROR(__xludf.DUMMYFUNCTION("""COMPUTED_VALUE"""),45264.66666666667)</f>
        <v>45264.66667</v>
      </c>
      <c r="B3503" s="1">
        <f>IFERROR(__xludf.DUMMYFUNCTION("""COMPUTED_VALUE"""),38.03)</f>
        <v>38.03</v>
      </c>
      <c r="C3503" s="1">
        <f>IFERROR(__xludf.DUMMYFUNCTION("""COMPUTED_VALUE"""),39.1)</f>
        <v>39.1</v>
      </c>
      <c r="D3503" s="1">
        <f>IFERROR(__xludf.DUMMYFUNCTION("""COMPUTED_VALUE"""),38.03)</f>
        <v>38.03</v>
      </c>
      <c r="E3503" s="1">
        <f>IFERROR(__xludf.DUMMYFUNCTION("""COMPUTED_VALUE"""),38.88)</f>
        <v>38.88</v>
      </c>
      <c r="F3503" s="1">
        <f>IFERROR(__xludf.DUMMYFUNCTION("""COMPUTED_VALUE"""),250183.0)</f>
        <v>250183</v>
      </c>
    </row>
    <row r="3504">
      <c r="A3504" s="2">
        <f>IFERROR(__xludf.DUMMYFUNCTION("""COMPUTED_VALUE"""),45265.66666666667)</f>
        <v>45265.66667</v>
      </c>
      <c r="B3504" s="1">
        <f>IFERROR(__xludf.DUMMYFUNCTION("""COMPUTED_VALUE"""),38.86)</f>
        <v>38.86</v>
      </c>
      <c r="C3504" s="1">
        <f>IFERROR(__xludf.DUMMYFUNCTION("""COMPUTED_VALUE"""),39.07)</f>
        <v>39.07</v>
      </c>
      <c r="D3504" s="1">
        <f>IFERROR(__xludf.DUMMYFUNCTION("""COMPUTED_VALUE"""),38.32)</f>
        <v>38.32</v>
      </c>
      <c r="E3504" s="1">
        <f>IFERROR(__xludf.DUMMYFUNCTION("""COMPUTED_VALUE"""),38.51)</f>
        <v>38.51</v>
      </c>
      <c r="F3504" s="1">
        <f>IFERROR(__xludf.DUMMYFUNCTION("""COMPUTED_VALUE"""),188149.0)</f>
        <v>188149</v>
      </c>
    </row>
    <row r="3505">
      <c r="A3505" s="2">
        <f>IFERROR(__xludf.DUMMYFUNCTION("""COMPUTED_VALUE"""),45266.66666666667)</f>
        <v>45266.66667</v>
      </c>
      <c r="B3505" s="1">
        <f>IFERROR(__xludf.DUMMYFUNCTION("""COMPUTED_VALUE"""),38.89)</f>
        <v>38.89</v>
      </c>
      <c r="C3505" s="1">
        <f>IFERROR(__xludf.DUMMYFUNCTION("""COMPUTED_VALUE"""),39.67)</f>
        <v>39.67</v>
      </c>
      <c r="D3505" s="1">
        <f>IFERROR(__xludf.DUMMYFUNCTION("""COMPUTED_VALUE"""),38.33)</f>
        <v>38.33</v>
      </c>
      <c r="E3505" s="1">
        <f>IFERROR(__xludf.DUMMYFUNCTION("""COMPUTED_VALUE"""),38.38)</f>
        <v>38.38</v>
      </c>
      <c r="F3505" s="1">
        <f>IFERROR(__xludf.DUMMYFUNCTION("""COMPUTED_VALUE"""),323926.0)</f>
        <v>323926</v>
      </c>
    </row>
    <row r="3506">
      <c r="A3506" s="2">
        <f>IFERROR(__xludf.DUMMYFUNCTION("""COMPUTED_VALUE"""),45267.66666666667)</f>
        <v>45267.66667</v>
      </c>
      <c r="B3506" s="1">
        <f>IFERROR(__xludf.DUMMYFUNCTION("""COMPUTED_VALUE"""),38.4)</f>
        <v>38.4</v>
      </c>
      <c r="C3506" s="1">
        <f>IFERROR(__xludf.DUMMYFUNCTION("""COMPUTED_VALUE"""),39.39)</f>
        <v>39.39</v>
      </c>
      <c r="D3506" s="1">
        <f>IFERROR(__xludf.DUMMYFUNCTION("""COMPUTED_VALUE"""),38.22)</f>
        <v>38.22</v>
      </c>
      <c r="E3506" s="1">
        <f>IFERROR(__xludf.DUMMYFUNCTION("""COMPUTED_VALUE"""),39.39)</f>
        <v>39.39</v>
      </c>
      <c r="F3506" s="1">
        <f>IFERROR(__xludf.DUMMYFUNCTION("""COMPUTED_VALUE"""),228674.0)</f>
        <v>228674</v>
      </c>
    </row>
    <row r="3507">
      <c r="A3507" s="2">
        <f>IFERROR(__xludf.DUMMYFUNCTION("""COMPUTED_VALUE"""),45268.66666666667)</f>
        <v>45268.66667</v>
      </c>
      <c r="B3507" s="1">
        <f>IFERROR(__xludf.DUMMYFUNCTION("""COMPUTED_VALUE"""),39.38)</f>
        <v>39.38</v>
      </c>
      <c r="C3507" s="1">
        <f>IFERROR(__xludf.DUMMYFUNCTION("""COMPUTED_VALUE"""),40.04)</f>
        <v>40.04</v>
      </c>
      <c r="D3507" s="1">
        <f>IFERROR(__xludf.DUMMYFUNCTION("""COMPUTED_VALUE"""),39.07)</f>
        <v>39.07</v>
      </c>
      <c r="E3507" s="1">
        <f>IFERROR(__xludf.DUMMYFUNCTION("""COMPUTED_VALUE"""),39.94)</f>
        <v>39.94</v>
      </c>
      <c r="F3507" s="1">
        <f>IFERROR(__xludf.DUMMYFUNCTION("""COMPUTED_VALUE"""),240149.0)</f>
        <v>240149</v>
      </c>
    </row>
    <row r="3508">
      <c r="A3508" s="2">
        <f>IFERROR(__xludf.DUMMYFUNCTION("""COMPUTED_VALUE"""),45271.66666666667)</f>
        <v>45271.66667</v>
      </c>
      <c r="B3508" s="1">
        <f>IFERROR(__xludf.DUMMYFUNCTION("""COMPUTED_VALUE"""),40.05)</f>
        <v>40.05</v>
      </c>
      <c r="C3508" s="1">
        <f>IFERROR(__xludf.DUMMYFUNCTION("""COMPUTED_VALUE"""),40.34)</f>
        <v>40.34</v>
      </c>
      <c r="D3508" s="1">
        <f>IFERROR(__xludf.DUMMYFUNCTION("""COMPUTED_VALUE"""),39.25)</f>
        <v>39.25</v>
      </c>
      <c r="E3508" s="1">
        <f>IFERROR(__xludf.DUMMYFUNCTION("""COMPUTED_VALUE"""),40.22)</f>
        <v>40.22</v>
      </c>
      <c r="F3508" s="1">
        <f>IFERROR(__xludf.DUMMYFUNCTION("""COMPUTED_VALUE"""),233822.0)</f>
        <v>233822</v>
      </c>
    </row>
    <row r="3509">
      <c r="A3509" s="2">
        <f>IFERROR(__xludf.DUMMYFUNCTION("""COMPUTED_VALUE"""),45272.66666666667)</f>
        <v>45272.66667</v>
      </c>
      <c r="B3509" s="1">
        <f>IFERROR(__xludf.DUMMYFUNCTION("""COMPUTED_VALUE"""),40.03)</f>
        <v>40.03</v>
      </c>
      <c r="C3509" s="1">
        <f>IFERROR(__xludf.DUMMYFUNCTION("""COMPUTED_VALUE"""),40.52)</f>
        <v>40.52</v>
      </c>
      <c r="D3509" s="1">
        <f>IFERROR(__xludf.DUMMYFUNCTION("""COMPUTED_VALUE"""),39.84)</f>
        <v>39.84</v>
      </c>
      <c r="E3509" s="1">
        <f>IFERROR(__xludf.DUMMYFUNCTION("""COMPUTED_VALUE"""),39.93)</f>
        <v>39.93</v>
      </c>
      <c r="F3509" s="1">
        <f>IFERROR(__xludf.DUMMYFUNCTION("""COMPUTED_VALUE"""),435032.0)</f>
        <v>435032</v>
      </c>
    </row>
    <row r="3510">
      <c r="A3510" s="2">
        <f>IFERROR(__xludf.DUMMYFUNCTION("""COMPUTED_VALUE"""),45273.66666666667)</f>
        <v>45273.66667</v>
      </c>
      <c r="B3510" s="1">
        <f>IFERROR(__xludf.DUMMYFUNCTION("""COMPUTED_VALUE"""),40.09)</f>
        <v>40.09</v>
      </c>
      <c r="C3510" s="1">
        <f>IFERROR(__xludf.DUMMYFUNCTION("""COMPUTED_VALUE"""),42.3)</f>
        <v>42.3</v>
      </c>
      <c r="D3510" s="1">
        <f>IFERROR(__xludf.DUMMYFUNCTION("""COMPUTED_VALUE"""),39.77)</f>
        <v>39.77</v>
      </c>
      <c r="E3510" s="1">
        <f>IFERROR(__xludf.DUMMYFUNCTION("""COMPUTED_VALUE"""),42.18)</f>
        <v>42.18</v>
      </c>
      <c r="F3510" s="1">
        <f>IFERROR(__xludf.DUMMYFUNCTION("""COMPUTED_VALUE"""),393073.0)</f>
        <v>393073</v>
      </c>
    </row>
    <row r="3511">
      <c r="A3511" s="2">
        <f>IFERROR(__xludf.DUMMYFUNCTION("""COMPUTED_VALUE"""),45274.66666666667)</f>
        <v>45274.66667</v>
      </c>
      <c r="B3511" s="1">
        <f>IFERROR(__xludf.DUMMYFUNCTION("""COMPUTED_VALUE"""),43.09)</f>
        <v>43.09</v>
      </c>
      <c r="C3511" s="1">
        <f>IFERROR(__xludf.DUMMYFUNCTION("""COMPUTED_VALUE"""),44.54)</f>
        <v>44.54</v>
      </c>
      <c r="D3511" s="1">
        <f>IFERROR(__xludf.DUMMYFUNCTION("""COMPUTED_VALUE"""),42.99)</f>
        <v>42.99</v>
      </c>
      <c r="E3511" s="1">
        <f>IFERROR(__xludf.DUMMYFUNCTION("""COMPUTED_VALUE"""),44.31)</f>
        <v>44.31</v>
      </c>
      <c r="F3511" s="1">
        <f>IFERROR(__xludf.DUMMYFUNCTION("""COMPUTED_VALUE"""),546288.0)</f>
        <v>546288</v>
      </c>
    </row>
    <row r="3512">
      <c r="A3512" s="2">
        <f>IFERROR(__xludf.DUMMYFUNCTION("""COMPUTED_VALUE"""),45275.66666666667)</f>
        <v>45275.66667</v>
      </c>
      <c r="B3512" s="1">
        <f>IFERROR(__xludf.DUMMYFUNCTION("""COMPUTED_VALUE"""),44.15)</f>
        <v>44.15</v>
      </c>
      <c r="C3512" s="1">
        <f>IFERROR(__xludf.DUMMYFUNCTION("""COMPUTED_VALUE"""),44.57)</f>
        <v>44.57</v>
      </c>
      <c r="D3512" s="1">
        <f>IFERROR(__xludf.DUMMYFUNCTION("""COMPUTED_VALUE"""),43.51)</f>
        <v>43.51</v>
      </c>
      <c r="E3512" s="1">
        <f>IFERROR(__xludf.DUMMYFUNCTION("""COMPUTED_VALUE"""),44.24)</f>
        <v>44.24</v>
      </c>
      <c r="F3512" s="1">
        <f>IFERROR(__xludf.DUMMYFUNCTION("""COMPUTED_VALUE"""),1292006.0)</f>
        <v>1292006</v>
      </c>
    </row>
    <row r="3513">
      <c r="A3513" s="2">
        <f>IFERROR(__xludf.DUMMYFUNCTION("""COMPUTED_VALUE"""),45278.66666666667)</f>
        <v>45278.66667</v>
      </c>
      <c r="B3513" s="1">
        <f>IFERROR(__xludf.DUMMYFUNCTION("""COMPUTED_VALUE"""),44.42)</f>
        <v>44.42</v>
      </c>
      <c r="C3513" s="1">
        <f>IFERROR(__xludf.DUMMYFUNCTION("""COMPUTED_VALUE"""),44.64)</f>
        <v>44.64</v>
      </c>
      <c r="D3513" s="1">
        <f>IFERROR(__xludf.DUMMYFUNCTION("""COMPUTED_VALUE"""),43.92)</f>
        <v>43.92</v>
      </c>
      <c r="E3513" s="1">
        <f>IFERROR(__xludf.DUMMYFUNCTION("""COMPUTED_VALUE"""),43.99)</f>
        <v>43.99</v>
      </c>
      <c r="F3513" s="1">
        <f>IFERROR(__xludf.DUMMYFUNCTION("""COMPUTED_VALUE"""),286865.0)</f>
        <v>286865</v>
      </c>
    </row>
    <row r="3514">
      <c r="A3514" s="2">
        <f>IFERROR(__xludf.DUMMYFUNCTION("""COMPUTED_VALUE"""),45279.66666666667)</f>
        <v>45279.66667</v>
      </c>
      <c r="B3514" s="1">
        <f>IFERROR(__xludf.DUMMYFUNCTION("""COMPUTED_VALUE"""),44.13)</f>
        <v>44.13</v>
      </c>
      <c r="C3514" s="1">
        <f>IFERROR(__xludf.DUMMYFUNCTION("""COMPUTED_VALUE"""),45.05)</f>
        <v>45.05</v>
      </c>
      <c r="D3514" s="1">
        <f>IFERROR(__xludf.DUMMYFUNCTION("""COMPUTED_VALUE"""),43.77)</f>
        <v>43.77</v>
      </c>
      <c r="E3514" s="1">
        <f>IFERROR(__xludf.DUMMYFUNCTION("""COMPUTED_VALUE"""),44.7)</f>
        <v>44.7</v>
      </c>
      <c r="F3514" s="1">
        <f>IFERROR(__xludf.DUMMYFUNCTION("""COMPUTED_VALUE"""),338036.0)</f>
        <v>338036</v>
      </c>
    </row>
    <row r="3515">
      <c r="A3515" s="2">
        <f>IFERROR(__xludf.DUMMYFUNCTION("""COMPUTED_VALUE"""),45280.66666666667)</f>
        <v>45280.66667</v>
      </c>
      <c r="B3515" s="1">
        <f>IFERROR(__xludf.DUMMYFUNCTION("""COMPUTED_VALUE"""),44.72)</f>
        <v>44.72</v>
      </c>
      <c r="C3515" s="1">
        <f>IFERROR(__xludf.DUMMYFUNCTION("""COMPUTED_VALUE"""),45.56)</f>
        <v>45.56</v>
      </c>
      <c r="D3515" s="1">
        <f>IFERROR(__xludf.DUMMYFUNCTION("""COMPUTED_VALUE"""),43.85)</f>
        <v>43.85</v>
      </c>
      <c r="E3515" s="1">
        <f>IFERROR(__xludf.DUMMYFUNCTION("""COMPUTED_VALUE"""),43.86)</f>
        <v>43.86</v>
      </c>
      <c r="F3515" s="1">
        <f>IFERROR(__xludf.DUMMYFUNCTION("""COMPUTED_VALUE"""),436475.0)</f>
        <v>436475</v>
      </c>
    </row>
    <row r="3516">
      <c r="A3516" s="2">
        <f>IFERROR(__xludf.DUMMYFUNCTION("""COMPUTED_VALUE"""),45281.66666666667)</f>
        <v>45281.66667</v>
      </c>
      <c r="B3516" s="1">
        <f>IFERROR(__xludf.DUMMYFUNCTION("""COMPUTED_VALUE"""),44.24)</f>
        <v>44.24</v>
      </c>
      <c r="C3516" s="1">
        <f>IFERROR(__xludf.DUMMYFUNCTION("""COMPUTED_VALUE"""),44.51)</f>
        <v>44.51</v>
      </c>
      <c r="D3516" s="1">
        <f>IFERROR(__xludf.DUMMYFUNCTION("""COMPUTED_VALUE"""),43.83)</f>
        <v>43.83</v>
      </c>
      <c r="E3516" s="1">
        <f>IFERROR(__xludf.DUMMYFUNCTION("""COMPUTED_VALUE"""),44.37)</f>
        <v>44.37</v>
      </c>
      <c r="F3516" s="1">
        <f>IFERROR(__xludf.DUMMYFUNCTION("""COMPUTED_VALUE"""),229179.0)</f>
        <v>229179</v>
      </c>
    </row>
    <row r="3517">
      <c r="A3517" s="2">
        <f>IFERROR(__xludf.DUMMYFUNCTION("""COMPUTED_VALUE"""),45282.66666666667)</f>
        <v>45282.66667</v>
      </c>
      <c r="B3517" s="1">
        <f>IFERROR(__xludf.DUMMYFUNCTION("""COMPUTED_VALUE"""),44.78)</f>
        <v>44.78</v>
      </c>
      <c r="C3517" s="1">
        <f>IFERROR(__xludf.DUMMYFUNCTION("""COMPUTED_VALUE"""),45.28)</f>
        <v>45.28</v>
      </c>
      <c r="D3517" s="1">
        <f>IFERROR(__xludf.DUMMYFUNCTION("""COMPUTED_VALUE"""),44.4)</f>
        <v>44.4</v>
      </c>
      <c r="E3517" s="1">
        <f>IFERROR(__xludf.DUMMYFUNCTION("""COMPUTED_VALUE"""),44.56)</f>
        <v>44.56</v>
      </c>
      <c r="F3517" s="1">
        <f>IFERROR(__xludf.DUMMYFUNCTION("""COMPUTED_VALUE"""),224169.0)</f>
        <v>224169</v>
      </c>
    </row>
    <row r="3518">
      <c r="A3518" s="2">
        <f>IFERROR(__xludf.DUMMYFUNCTION("""COMPUTED_VALUE"""),45286.66666666667)</f>
        <v>45286.66667</v>
      </c>
      <c r="B3518" s="1">
        <f>IFERROR(__xludf.DUMMYFUNCTION("""COMPUTED_VALUE"""),44.75)</f>
        <v>44.75</v>
      </c>
      <c r="C3518" s="1">
        <f>IFERROR(__xludf.DUMMYFUNCTION("""COMPUTED_VALUE"""),45.42)</f>
        <v>45.42</v>
      </c>
      <c r="D3518" s="1">
        <f>IFERROR(__xludf.DUMMYFUNCTION("""COMPUTED_VALUE"""),44.62)</f>
        <v>44.62</v>
      </c>
      <c r="E3518" s="1">
        <f>IFERROR(__xludf.DUMMYFUNCTION("""COMPUTED_VALUE"""),45.31)</f>
        <v>45.31</v>
      </c>
      <c r="F3518" s="1">
        <f>IFERROR(__xludf.DUMMYFUNCTION("""COMPUTED_VALUE"""),222430.0)</f>
        <v>222430</v>
      </c>
    </row>
    <row r="3519">
      <c r="A3519" s="2">
        <f>IFERROR(__xludf.DUMMYFUNCTION("""COMPUTED_VALUE"""),45287.66666666667)</f>
        <v>45287.66667</v>
      </c>
      <c r="B3519" s="1">
        <f>IFERROR(__xludf.DUMMYFUNCTION("""COMPUTED_VALUE"""),45.26)</f>
        <v>45.26</v>
      </c>
      <c r="C3519" s="1">
        <f>IFERROR(__xludf.DUMMYFUNCTION("""COMPUTED_VALUE"""),45.72)</f>
        <v>45.72</v>
      </c>
      <c r="D3519" s="1">
        <f>IFERROR(__xludf.DUMMYFUNCTION("""COMPUTED_VALUE"""),45.05)</f>
        <v>45.05</v>
      </c>
      <c r="E3519" s="1">
        <f>IFERROR(__xludf.DUMMYFUNCTION("""COMPUTED_VALUE"""),45.44)</f>
        <v>45.44</v>
      </c>
      <c r="F3519" s="1">
        <f>IFERROR(__xludf.DUMMYFUNCTION("""COMPUTED_VALUE"""),272586.0)</f>
        <v>272586</v>
      </c>
    </row>
    <row r="3520">
      <c r="A3520" s="2">
        <f>IFERROR(__xludf.DUMMYFUNCTION("""COMPUTED_VALUE"""),45288.66666666667)</f>
        <v>45288.66667</v>
      </c>
      <c r="B3520" s="1">
        <f>IFERROR(__xludf.DUMMYFUNCTION("""COMPUTED_VALUE"""),45.23)</f>
        <v>45.23</v>
      </c>
      <c r="C3520" s="1">
        <f>IFERROR(__xludf.DUMMYFUNCTION("""COMPUTED_VALUE"""),45.55)</f>
        <v>45.55</v>
      </c>
      <c r="D3520" s="1">
        <f>IFERROR(__xludf.DUMMYFUNCTION("""COMPUTED_VALUE"""),44.98)</f>
        <v>44.98</v>
      </c>
      <c r="E3520" s="1">
        <f>IFERROR(__xludf.DUMMYFUNCTION("""COMPUTED_VALUE"""),45.29)</f>
        <v>45.29</v>
      </c>
      <c r="F3520" s="1">
        <f>IFERROR(__xludf.DUMMYFUNCTION("""COMPUTED_VALUE"""),189367.0)</f>
        <v>189367</v>
      </c>
    </row>
    <row r="3521">
      <c r="A3521" s="2">
        <f>IFERROR(__xludf.DUMMYFUNCTION("""COMPUTED_VALUE"""),45289.66666666667)</f>
        <v>45289.66667</v>
      </c>
      <c r="B3521" s="1">
        <f>IFERROR(__xludf.DUMMYFUNCTION("""COMPUTED_VALUE"""),45.24)</f>
        <v>45.24</v>
      </c>
      <c r="C3521" s="1">
        <f>IFERROR(__xludf.DUMMYFUNCTION("""COMPUTED_VALUE"""),45.33)</f>
        <v>45.33</v>
      </c>
      <c r="D3521" s="1">
        <f>IFERROR(__xludf.DUMMYFUNCTION("""COMPUTED_VALUE"""),44.51)</f>
        <v>44.51</v>
      </c>
      <c r="E3521" s="1">
        <f>IFERROR(__xludf.DUMMYFUNCTION("""COMPUTED_VALUE"""),44.57)</f>
        <v>44.57</v>
      </c>
      <c r="F3521" s="1">
        <f>IFERROR(__xludf.DUMMYFUNCTION("""COMPUTED_VALUE"""),173569.0)</f>
        <v>173569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IFERROR(__xludf.DUMMYFUNCTION("GOOGLEFINANCE(""NASDAQ:jjsf"",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IFERROR(__xludf.DUMMYFUNCTION("""COMPUTED_VALUE"""),40.36)</f>
        <v>40.36</v>
      </c>
      <c r="C2" s="1">
        <f>IFERROR(__xludf.DUMMYFUNCTION("""COMPUTED_VALUE"""),40.55)</f>
        <v>40.55</v>
      </c>
      <c r="D2" s="1">
        <f>IFERROR(__xludf.DUMMYFUNCTION("""COMPUTED_VALUE"""),39.75)</f>
        <v>39.75</v>
      </c>
      <c r="E2" s="1">
        <f>IFERROR(__xludf.DUMMYFUNCTION("""COMPUTED_VALUE"""),40.2)</f>
        <v>40.2</v>
      </c>
      <c r="F2" s="1">
        <f>IFERROR(__xludf.DUMMYFUNCTION("""COMPUTED_VALUE"""),43300.0)</f>
        <v>43300</v>
      </c>
    </row>
    <row r="3">
      <c r="A3" s="2">
        <f>IFERROR(__xludf.DUMMYFUNCTION("""COMPUTED_VALUE"""),40183.666666666664)</f>
        <v>40183.66667</v>
      </c>
      <c r="B3" s="1">
        <f>IFERROR(__xludf.DUMMYFUNCTION("""COMPUTED_VALUE"""),39.95)</f>
        <v>39.95</v>
      </c>
      <c r="C3" s="1">
        <f>IFERROR(__xludf.DUMMYFUNCTION("""COMPUTED_VALUE"""),40.13)</f>
        <v>40.13</v>
      </c>
      <c r="D3" s="1">
        <f>IFERROR(__xludf.DUMMYFUNCTION("""COMPUTED_VALUE"""),38.36)</f>
        <v>38.36</v>
      </c>
      <c r="E3" s="1">
        <f>IFERROR(__xludf.DUMMYFUNCTION("""COMPUTED_VALUE"""),38.7)</f>
        <v>38.7</v>
      </c>
      <c r="F3" s="1">
        <f>IFERROR(__xludf.DUMMYFUNCTION("""COMPUTED_VALUE"""),116928.0)</f>
        <v>116928</v>
      </c>
    </row>
    <row r="4">
      <c r="A4" s="2">
        <f>IFERROR(__xludf.DUMMYFUNCTION("""COMPUTED_VALUE"""),40184.666666666664)</f>
        <v>40184.66667</v>
      </c>
      <c r="B4" s="1">
        <f>IFERROR(__xludf.DUMMYFUNCTION("""COMPUTED_VALUE"""),38.62)</f>
        <v>38.62</v>
      </c>
      <c r="C4" s="1">
        <f>IFERROR(__xludf.DUMMYFUNCTION("""COMPUTED_VALUE"""),38.91)</f>
        <v>38.91</v>
      </c>
      <c r="D4" s="1">
        <f>IFERROR(__xludf.DUMMYFUNCTION("""COMPUTED_VALUE"""),37.0)</f>
        <v>37</v>
      </c>
      <c r="E4" s="1">
        <f>IFERROR(__xludf.DUMMYFUNCTION("""COMPUTED_VALUE"""),37.03)</f>
        <v>37.03</v>
      </c>
      <c r="F4" s="1">
        <f>IFERROR(__xludf.DUMMYFUNCTION("""COMPUTED_VALUE"""),214958.0)</f>
        <v>214958</v>
      </c>
    </row>
    <row r="5">
      <c r="A5" s="2">
        <f>IFERROR(__xludf.DUMMYFUNCTION("""COMPUTED_VALUE"""),40185.666666666664)</f>
        <v>40185.66667</v>
      </c>
      <c r="B5" s="1">
        <f>IFERROR(__xludf.DUMMYFUNCTION("""COMPUTED_VALUE"""),37.02)</f>
        <v>37.02</v>
      </c>
      <c r="C5" s="1">
        <f>IFERROR(__xludf.DUMMYFUNCTION("""COMPUTED_VALUE"""),37.96)</f>
        <v>37.96</v>
      </c>
      <c r="D5" s="1">
        <f>IFERROR(__xludf.DUMMYFUNCTION("""COMPUTED_VALUE"""),36.8)</f>
        <v>36.8</v>
      </c>
      <c r="E5" s="1">
        <f>IFERROR(__xludf.DUMMYFUNCTION("""COMPUTED_VALUE"""),37.92)</f>
        <v>37.92</v>
      </c>
      <c r="F5" s="1">
        <f>IFERROR(__xludf.DUMMYFUNCTION("""COMPUTED_VALUE"""),96391.0)</f>
        <v>96391</v>
      </c>
    </row>
    <row r="6">
      <c r="A6" s="2">
        <f>IFERROR(__xludf.DUMMYFUNCTION("""COMPUTED_VALUE"""),40186.666666666664)</f>
        <v>40186.66667</v>
      </c>
      <c r="B6" s="1">
        <f>IFERROR(__xludf.DUMMYFUNCTION("""COMPUTED_VALUE"""),38.04)</f>
        <v>38.04</v>
      </c>
      <c r="C6" s="1">
        <f>IFERROR(__xludf.DUMMYFUNCTION("""COMPUTED_VALUE"""),38.33)</f>
        <v>38.33</v>
      </c>
      <c r="D6" s="1">
        <f>IFERROR(__xludf.DUMMYFUNCTION("""COMPUTED_VALUE"""),37.77)</f>
        <v>37.77</v>
      </c>
      <c r="E6" s="1">
        <f>IFERROR(__xludf.DUMMYFUNCTION("""COMPUTED_VALUE"""),38.06)</f>
        <v>38.06</v>
      </c>
      <c r="F6" s="1">
        <f>IFERROR(__xludf.DUMMYFUNCTION("""COMPUTED_VALUE"""),48484.0)</f>
        <v>48484</v>
      </c>
    </row>
    <row r="7">
      <c r="A7" s="2">
        <f>IFERROR(__xludf.DUMMYFUNCTION("""COMPUTED_VALUE"""),40189.666666666664)</f>
        <v>40189.66667</v>
      </c>
      <c r="B7" s="1">
        <f>IFERROR(__xludf.DUMMYFUNCTION("""COMPUTED_VALUE"""),38.01)</f>
        <v>38.01</v>
      </c>
      <c r="C7" s="1">
        <f>IFERROR(__xludf.DUMMYFUNCTION("""COMPUTED_VALUE"""),38.12)</f>
        <v>38.12</v>
      </c>
      <c r="D7" s="1">
        <f>IFERROR(__xludf.DUMMYFUNCTION("""COMPUTED_VALUE"""),37.29)</f>
        <v>37.29</v>
      </c>
      <c r="E7" s="1">
        <f>IFERROR(__xludf.DUMMYFUNCTION("""COMPUTED_VALUE"""),37.85)</f>
        <v>37.85</v>
      </c>
      <c r="F7" s="1">
        <f>IFERROR(__xludf.DUMMYFUNCTION("""COMPUTED_VALUE"""),60193.0)</f>
        <v>60193</v>
      </c>
    </row>
    <row r="8">
      <c r="A8" s="2">
        <f>IFERROR(__xludf.DUMMYFUNCTION("""COMPUTED_VALUE"""),40190.666666666664)</f>
        <v>40190.66667</v>
      </c>
      <c r="B8" s="1">
        <f>IFERROR(__xludf.DUMMYFUNCTION("""COMPUTED_VALUE"""),37.88)</f>
        <v>37.88</v>
      </c>
      <c r="C8" s="1">
        <f>IFERROR(__xludf.DUMMYFUNCTION("""COMPUTED_VALUE"""),38.34)</f>
        <v>38.34</v>
      </c>
      <c r="D8" s="1">
        <f>IFERROR(__xludf.DUMMYFUNCTION("""COMPUTED_VALUE"""),37.56)</f>
        <v>37.56</v>
      </c>
      <c r="E8" s="1">
        <f>IFERROR(__xludf.DUMMYFUNCTION("""COMPUTED_VALUE"""),38.33)</f>
        <v>38.33</v>
      </c>
      <c r="F8" s="1">
        <f>IFERROR(__xludf.DUMMYFUNCTION("""COMPUTED_VALUE"""),30120.0)</f>
        <v>30120</v>
      </c>
    </row>
    <row r="9">
      <c r="A9" s="2">
        <f>IFERROR(__xludf.DUMMYFUNCTION("""COMPUTED_VALUE"""),40191.666666666664)</f>
        <v>40191.66667</v>
      </c>
      <c r="B9" s="1">
        <f>IFERROR(__xludf.DUMMYFUNCTION("""COMPUTED_VALUE"""),38.47)</f>
        <v>38.47</v>
      </c>
      <c r="C9" s="1">
        <f>IFERROR(__xludf.DUMMYFUNCTION("""COMPUTED_VALUE"""),39.4)</f>
        <v>39.4</v>
      </c>
      <c r="D9" s="1">
        <f>IFERROR(__xludf.DUMMYFUNCTION("""COMPUTED_VALUE"""),38.18)</f>
        <v>38.18</v>
      </c>
      <c r="E9" s="1">
        <f>IFERROR(__xludf.DUMMYFUNCTION("""COMPUTED_VALUE"""),39.23)</f>
        <v>39.23</v>
      </c>
      <c r="F9" s="1">
        <f>IFERROR(__xludf.DUMMYFUNCTION("""COMPUTED_VALUE"""),68426.0)</f>
        <v>68426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IFERROR(__xludf.DUMMYFUNCTION("""COMPUTED_VALUE"""),39.0)</f>
        <v>39</v>
      </c>
      <c r="C10" s="1">
        <f>IFERROR(__xludf.DUMMYFUNCTION("""COMPUTED_VALUE"""),39.28)</f>
        <v>39.28</v>
      </c>
      <c r="D10" s="1">
        <f>IFERROR(__xludf.DUMMYFUNCTION("""COMPUTED_VALUE"""),38.8)</f>
        <v>38.8</v>
      </c>
      <c r="E10" s="1">
        <f>IFERROR(__xludf.DUMMYFUNCTION("""COMPUTED_VALUE"""),38.98)</f>
        <v>38.98</v>
      </c>
      <c r="F10" s="1">
        <f>IFERROR(__xludf.DUMMYFUNCTION("""COMPUTED_VALUE"""),31349.0)</f>
        <v>31349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IFERROR(__xludf.DUMMYFUNCTION("""COMPUTED_VALUE"""),39.02)</f>
        <v>39.02</v>
      </c>
      <c r="C11" s="1">
        <f>IFERROR(__xludf.DUMMYFUNCTION("""COMPUTED_VALUE"""),39.17)</f>
        <v>39.17</v>
      </c>
      <c r="D11" s="1">
        <f>IFERROR(__xludf.DUMMYFUNCTION("""COMPUTED_VALUE"""),38.6)</f>
        <v>38.6</v>
      </c>
      <c r="E11" s="1">
        <f>IFERROR(__xludf.DUMMYFUNCTION("""COMPUTED_VALUE"""),39.08)</f>
        <v>39.08</v>
      </c>
      <c r="F11" s="1">
        <f>IFERROR(__xludf.DUMMYFUNCTION("""COMPUTED_VALUE"""),91317.0)</f>
        <v>91317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IFERROR(__xludf.DUMMYFUNCTION("""COMPUTED_VALUE"""),39.02)</f>
        <v>39.02</v>
      </c>
      <c r="C12" s="1">
        <f>IFERROR(__xludf.DUMMYFUNCTION("""COMPUTED_VALUE"""),39.61)</f>
        <v>39.61</v>
      </c>
      <c r="D12" s="1">
        <f>IFERROR(__xludf.DUMMYFUNCTION("""COMPUTED_VALUE"""),39.0)</f>
        <v>39</v>
      </c>
      <c r="E12" s="1">
        <f>IFERROR(__xludf.DUMMYFUNCTION("""COMPUTED_VALUE"""),39.61)</f>
        <v>39.61</v>
      </c>
      <c r="F12" s="1">
        <f>IFERROR(__xludf.DUMMYFUNCTION("""COMPUTED_VALUE"""),63897.0)</f>
        <v>63897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IFERROR(__xludf.DUMMYFUNCTION("""COMPUTED_VALUE"""),39.6)</f>
        <v>39.6</v>
      </c>
      <c r="C13" s="1">
        <f>IFERROR(__xludf.DUMMYFUNCTION("""COMPUTED_VALUE"""),40.21)</f>
        <v>40.21</v>
      </c>
      <c r="D13" s="1">
        <f>IFERROR(__xludf.DUMMYFUNCTION("""COMPUTED_VALUE"""),39.09)</f>
        <v>39.09</v>
      </c>
      <c r="E13" s="1">
        <f>IFERROR(__xludf.DUMMYFUNCTION("""COMPUTED_VALUE"""),40.12)</f>
        <v>40.12</v>
      </c>
      <c r="F13" s="1">
        <f>IFERROR(__xludf.DUMMYFUNCTION("""COMPUTED_VALUE"""),82581.0)</f>
        <v>82581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IFERROR(__xludf.DUMMYFUNCTION("""COMPUTED_VALUE"""),40.14)</f>
        <v>40.14</v>
      </c>
      <c r="C14" s="1">
        <f>IFERROR(__xludf.DUMMYFUNCTION("""COMPUTED_VALUE"""),41.95)</f>
        <v>41.95</v>
      </c>
      <c r="D14" s="1">
        <f>IFERROR(__xludf.DUMMYFUNCTION("""COMPUTED_VALUE"""),39.2)</f>
        <v>39.2</v>
      </c>
      <c r="E14" s="1">
        <f>IFERROR(__xludf.DUMMYFUNCTION("""COMPUTED_VALUE"""),41.3)</f>
        <v>41.3</v>
      </c>
      <c r="F14" s="1">
        <f>IFERROR(__xludf.DUMMYFUNCTION("""COMPUTED_VALUE"""),144293.0)</f>
        <v>144293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IFERROR(__xludf.DUMMYFUNCTION("""COMPUTED_VALUE"""),41.92)</f>
        <v>41.92</v>
      </c>
      <c r="C15" s="1">
        <f>IFERROR(__xludf.DUMMYFUNCTION("""COMPUTED_VALUE"""),44.58)</f>
        <v>44.58</v>
      </c>
      <c r="D15" s="1">
        <f>IFERROR(__xludf.DUMMYFUNCTION("""COMPUTED_VALUE"""),41.4)</f>
        <v>41.4</v>
      </c>
      <c r="E15" s="1">
        <f>IFERROR(__xludf.DUMMYFUNCTION("""COMPUTED_VALUE"""),43.61)</f>
        <v>43.61</v>
      </c>
      <c r="F15" s="1">
        <f>IFERROR(__xludf.DUMMYFUNCTION("""COMPUTED_VALUE"""),198193.0)</f>
        <v>198193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IFERROR(__xludf.DUMMYFUNCTION("""COMPUTED_VALUE"""),43.54)</f>
        <v>43.54</v>
      </c>
      <c r="C16" s="1">
        <f>IFERROR(__xludf.DUMMYFUNCTION("""COMPUTED_VALUE"""),43.9)</f>
        <v>43.9</v>
      </c>
      <c r="D16" s="1">
        <f>IFERROR(__xludf.DUMMYFUNCTION("""COMPUTED_VALUE"""),43.1)</f>
        <v>43.1</v>
      </c>
      <c r="E16" s="1">
        <f>IFERROR(__xludf.DUMMYFUNCTION("""COMPUTED_VALUE"""),43.36)</f>
        <v>43.36</v>
      </c>
      <c r="F16" s="1">
        <f>IFERROR(__xludf.DUMMYFUNCTION("""COMPUTED_VALUE"""),118451.0)</f>
        <v>118451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IFERROR(__xludf.DUMMYFUNCTION("""COMPUTED_VALUE"""),43.17)</f>
        <v>43.17</v>
      </c>
      <c r="C17" s="1">
        <f>IFERROR(__xludf.DUMMYFUNCTION("""COMPUTED_VALUE"""),43.22)</f>
        <v>43.22</v>
      </c>
      <c r="D17" s="1">
        <f>IFERROR(__xludf.DUMMYFUNCTION("""COMPUTED_VALUE"""),42.34)</f>
        <v>42.34</v>
      </c>
      <c r="E17" s="1">
        <f>IFERROR(__xludf.DUMMYFUNCTION("""COMPUTED_VALUE"""),42.72)</f>
        <v>42.72</v>
      </c>
      <c r="F17" s="1">
        <f>IFERROR(__xludf.DUMMYFUNCTION("""COMPUTED_VALUE"""),84325.0)</f>
        <v>84325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IFERROR(__xludf.DUMMYFUNCTION("""COMPUTED_VALUE"""),42.76)</f>
        <v>42.76</v>
      </c>
      <c r="C18" s="1">
        <f>IFERROR(__xludf.DUMMYFUNCTION("""COMPUTED_VALUE"""),43.43)</f>
        <v>43.43</v>
      </c>
      <c r="D18" s="1">
        <f>IFERROR(__xludf.DUMMYFUNCTION("""COMPUTED_VALUE"""),42.45)</f>
        <v>42.45</v>
      </c>
      <c r="E18" s="1">
        <f>IFERROR(__xludf.DUMMYFUNCTION("""COMPUTED_VALUE"""),42.98)</f>
        <v>42.98</v>
      </c>
      <c r="F18" s="1">
        <f>IFERROR(__xludf.DUMMYFUNCTION("""COMPUTED_VALUE"""),58738.0)</f>
        <v>58738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IFERROR(__xludf.DUMMYFUNCTION("""COMPUTED_VALUE"""),42.91)</f>
        <v>42.91</v>
      </c>
      <c r="C19" s="1">
        <f>IFERROR(__xludf.DUMMYFUNCTION("""COMPUTED_VALUE"""),43.03)</f>
        <v>43.03</v>
      </c>
      <c r="D19" s="1">
        <f>IFERROR(__xludf.DUMMYFUNCTION("""COMPUTED_VALUE"""),42.13)</f>
        <v>42.13</v>
      </c>
      <c r="E19" s="1">
        <f>IFERROR(__xludf.DUMMYFUNCTION("""COMPUTED_VALUE"""),42.27)</f>
        <v>42.27</v>
      </c>
      <c r="F19" s="1">
        <f>IFERROR(__xludf.DUMMYFUNCTION("""COMPUTED_VALUE"""),63768.0)</f>
        <v>63768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IFERROR(__xludf.DUMMYFUNCTION("""COMPUTED_VALUE"""),42.31)</f>
        <v>42.31</v>
      </c>
      <c r="C20" s="1">
        <f>IFERROR(__xludf.DUMMYFUNCTION("""COMPUTED_VALUE"""),42.56)</f>
        <v>42.56</v>
      </c>
      <c r="D20" s="1">
        <f>IFERROR(__xludf.DUMMYFUNCTION("""COMPUTED_VALUE"""),41.8)</f>
        <v>41.8</v>
      </c>
      <c r="E20" s="1">
        <f>IFERROR(__xludf.DUMMYFUNCTION("""COMPUTED_VALUE"""),41.81)</f>
        <v>41.81</v>
      </c>
      <c r="F20" s="1">
        <f>IFERROR(__xludf.DUMMYFUNCTION("""COMPUTED_VALUE"""),67893.0)</f>
        <v>67893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IFERROR(__xludf.DUMMYFUNCTION("""COMPUTED_VALUE"""),41.6)</f>
        <v>41.6</v>
      </c>
      <c r="C21" s="1">
        <f>IFERROR(__xludf.DUMMYFUNCTION("""COMPUTED_VALUE"""),42.02)</f>
        <v>42.02</v>
      </c>
      <c r="D21" s="1">
        <f>IFERROR(__xludf.DUMMYFUNCTION("""COMPUTED_VALUE"""),41.32)</f>
        <v>41.32</v>
      </c>
      <c r="E21" s="1">
        <f>IFERROR(__xludf.DUMMYFUNCTION("""COMPUTED_VALUE"""),41.46)</f>
        <v>41.46</v>
      </c>
      <c r="F21" s="1">
        <f>IFERROR(__xludf.DUMMYFUNCTION("""COMPUTED_VALUE"""),40879.0)</f>
        <v>40879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IFERROR(__xludf.DUMMYFUNCTION("""COMPUTED_VALUE"""),41.51)</f>
        <v>41.51</v>
      </c>
      <c r="C22" s="1">
        <f>IFERROR(__xludf.DUMMYFUNCTION("""COMPUTED_VALUE"""),42.09)</f>
        <v>42.09</v>
      </c>
      <c r="D22" s="1">
        <f>IFERROR(__xludf.DUMMYFUNCTION("""COMPUTED_VALUE"""),41.5)</f>
        <v>41.5</v>
      </c>
      <c r="E22" s="1">
        <f>IFERROR(__xludf.DUMMYFUNCTION("""COMPUTED_VALUE"""),41.88)</f>
        <v>41.88</v>
      </c>
      <c r="F22" s="1">
        <f>IFERROR(__xludf.DUMMYFUNCTION("""COMPUTED_VALUE"""),68661.0)</f>
        <v>68661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IFERROR(__xludf.DUMMYFUNCTION("""COMPUTED_VALUE"""),41.99)</f>
        <v>41.99</v>
      </c>
      <c r="C23" s="1">
        <f>IFERROR(__xludf.DUMMYFUNCTION("""COMPUTED_VALUE"""),42.16)</f>
        <v>42.16</v>
      </c>
      <c r="D23" s="1">
        <f>IFERROR(__xludf.DUMMYFUNCTION("""COMPUTED_VALUE"""),41.8)</f>
        <v>41.8</v>
      </c>
      <c r="E23" s="1">
        <f>IFERROR(__xludf.DUMMYFUNCTION("""COMPUTED_VALUE"""),42.08)</f>
        <v>42.08</v>
      </c>
      <c r="F23" s="1">
        <f>IFERROR(__xludf.DUMMYFUNCTION("""COMPUTED_VALUE"""),54223.0)</f>
        <v>54223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IFERROR(__xludf.DUMMYFUNCTION("""COMPUTED_VALUE"""),41.91)</f>
        <v>41.91</v>
      </c>
      <c r="C24" s="1">
        <f>IFERROR(__xludf.DUMMYFUNCTION("""COMPUTED_VALUE"""),42.09)</f>
        <v>42.09</v>
      </c>
      <c r="D24" s="1">
        <f>IFERROR(__xludf.DUMMYFUNCTION("""COMPUTED_VALUE"""),41.59)</f>
        <v>41.59</v>
      </c>
      <c r="E24" s="1">
        <f>IFERROR(__xludf.DUMMYFUNCTION("""COMPUTED_VALUE"""),41.61)</f>
        <v>41.61</v>
      </c>
      <c r="F24" s="1">
        <f>IFERROR(__xludf.DUMMYFUNCTION("""COMPUTED_VALUE"""),60187.0)</f>
        <v>60187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IFERROR(__xludf.DUMMYFUNCTION("""COMPUTED_VALUE"""),41.81)</f>
        <v>41.81</v>
      </c>
      <c r="C25" s="1">
        <f>IFERROR(__xludf.DUMMYFUNCTION("""COMPUTED_VALUE"""),41.9)</f>
        <v>41.9</v>
      </c>
      <c r="D25" s="1">
        <f>IFERROR(__xludf.DUMMYFUNCTION("""COMPUTED_VALUE"""),41.23)</f>
        <v>41.23</v>
      </c>
      <c r="E25" s="1">
        <f>IFERROR(__xludf.DUMMYFUNCTION("""COMPUTED_VALUE"""),41.64)</f>
        <v>41.64</v>
      </c>
      <c r="F25" s="1">
        <f>IFERROR(__xludf.DUMMYFUNCTION("""COMPUTED_VALUE"""),45034.0)</f>
        <v>45034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IFERROR(__xludf.DUMMYFUNCTION("""COMPUTED_VALUE"""),41.27)</f>
        <v>41.27</v>
      </c>
      <c r="C26" s="1">
        <f>IFERROR(__xludf.DUMMYFUNCTION("""COMPUTED_VALUE"""),41.68)</f>
        <v>41.68</v>
      </c>
      <c r="D26" s="1">
        <f>IFERROR(__xludf.DUMMYFUNCTION("""COMPUTED_VALUE"""),40.8)</f>
        <v>40.8</v>
      </c>
      <c r="E26" s="1">
        <f>IFERROR(__xludf.DUMMYFUNCTION("""COMPUTED_VALUE"""),41.4)</f>
        <v>41.4</v>
      </c>
      <c r="F26" s="1">
        <f>IFERROR(__xludf.DUMMYFUNCTION("""COMPUTED_VALUE"""),59875.0)</f>
        <v>59875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IFERROR(__xludf.DUMMYFUNCTION("""COMPUTED_VALUE"""),41.7)</f>
        <v>41.7</v>
      </c>
      <c r="C27" s="1">
        <f>IFERROR(__xludf.DUMMYFUNCTION("""COMPUTED_VALUE"""),42.21)</f>
        <v>42.21</v>
      </c>
      <c r="D27" s="1">
        <f>IFERROR(__xludf.DUMMYFUNCTION("""COMPUTED_VALUE"""),41.64)</f>
        <v>41.64</v>
      </c>
      <c r="E27" s="1">
        <f>IFERROR(__xludf.DUMMYFUNCTION("""COMPUTED_VALUE"""),42.01)</f>
        <v>42.01</v>
      </c>
      <c r="F27" s="1">
        <f>IFERROR(__xludf.DUMMYFUNCTION("""COMPUTED_VALUE"""),70758.0)</f>
        <v>70758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IFERROR(__xludf.DUMMYFUNCTION("""COMPUTED_VALUE"""),41.99)</f>
        <v>41.99</v>
      </c>
      <c r="C28" s="1">
        <f>IFERROR(__xludf.DUMMYFUNCTION("""COMPUTED_VALUE"""),41.99)</f>
        <v>41.99</v>
      </c>
      <c r="D28" s="1">
        <f>IFERROR(__xludf.DUMMYFUNCTION("""COMPUTED_VALUE"""),41.5)</f>
        <v>41.5</v>
      </c>
      <c r="E28" s="1">
        <f>IFERROR(__xludf.DUMMYFUNCTION("""COMPUTED_VALUE"""),41.77)</f>
        <v>41.77</v>
      </c>
      <c r="F28" s="1">
        <f>IFERROR(__xludf.DUMMYFUNCTION("""COMPUTED_VALUE"""),37499.0)</f>
        <v>37499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IFERROR(__xludf.DUMMYFUNCTION("""COMPUTED_VALUE"""),42.19)</f>
        <v>42.19</v>
      </c>
      <c r="C29" s="1">
        <f>IFERROR(__xludf.DUMMYFUNCTION("""COMPUTED_VALUE"""),42.29)</f>
        <v>42.29</v>
      </c>
      <c r="D29" s="1">
        <f>IFERROR(__xludf.DUMMYFUNCTION("""COMPUTED_VALUE"""),41.6)</f>
        <v>41.6</v>
      </c>
      <c r="E29" s="1">
        <f>IFERROR(__xludf.DUMMYFUNCTION("""COMPUTED_VALUE"""),42.15)</f>
        <v>42.15</v>
      </c>
      <c r="F29" s="1">
        <f>IFERROR(__xludf.DUMMYFUNCTION("""COMPUTED_VALUE"""),43240.0)</f>
        <v>43240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IFERROR(__xludf.DUMMYFUNCTION("""COMPUTED_VALUE"""),42.22)</f>
        <v>42.22</v>
      </c>
      <c r="C30" s="1">
        <f>IFERROR(__xludf.DUMMYFUNCTION("""COMPUTED_VALUE"""),42.56)</f>
        <v>42.56</v>
      </c>
      <c r="D30" s="1">
        <f>IFERROR(__xludf.DUMMYFUNCTION("""COMPUTED_VALUE"""),41.84)</f>
        <v>41.84</v>
      </c>
      <c r="E30" s="1">
        <f>IFERROR(__xludf.DUMMYFUNCTION("""COMPUTED_VALUE"""),42.48)</f>
        <v>42.48</v>
      </c>
      <c r="F30" s="1">
        <f>IFERROR(__xludf.DUMMYFUNCTION("""COMPUTED_VALUE"""),35679.0)</f>
        <v>35679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IFERROR(__xludf.DUMMYFUNCTION("""COMPUTED_VALUE"""),42.48)</f>
        <v>42.48</v>
      </c>
      <c r="C31" s="1">
        <f>IFERROR(__xludf.DUMMYFUNCTION("""COMPUTED_VALUE"""),42.67)</f>
        <v>42.67</v>
      </c>
      <c r="D31" s="1">
        <f>IFERROR(__xludf.DUMMYFUNCTION("""COMPUTED_VALUE"""),42.2)</f>
        <v>42.2</v>
      </c>
      <c r="E31" s="1">
        <f>IFERROR(__xludf.DUMMYFUNCTION("""COMPUTED_VALUE"""),42.67)</f>
        <v>42.67</v>
      </c>
      <c r="F31" s="1">
        <f>IFERROR(__xludf.DUMMYFUNCTION("""COMPUTED_VALUE"""),48141.0)</f>
        <v>48141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IFERROR(__xludf.DUMMYFUNCTION("""COMPUTED_VALUE"""),42.47)</f>
        <v>42.47</v>
      </c>
      <c r="C32" s="1">
        <f>IFERROR(__xludf.DUMMYFUNCTION("""COMPUTED_VALUE"""),42.89)</f>
        <v>42.89</v>
      </c>
      <c r="D32" s="1">
        <f>IFERROR(__xludf.DUMMYFUNCTION("""COMPUTED_VALUE"""),42.47)</f>
        <v>42.47</v>
      </c>
      <c r="E32" s="1">
        <f>IFERROR(__xludf.DUMMYFUNCTION("""COMPUTED_VALUE"""),42.8)</f>
        <v>42.8</v>
      </c>
      <c r="F32" s="1">
        <f>IFERROR(__xludf.DUMMYFUNCTION("""COMPUTED_VALUE"""),80431.0)</f>
        <v>80431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IFERROR(__xludf.DUMMYFUNCTION("""COMPUTED_VALUE"""),42.59)</f>
        <v>42.59</v>
      </c>
      <c r="C33" s="1">
        <f>IFERROR(__xludf.DUMMYFUNCTION("""COMPUTED_VALUE"""),42.75)</f>
        <v>42.75</v>
      </c>
      <c r="D33" s="1">
        <f>IFERROR(__xludf.DUMMYFUNCTION("""COMPUTED_VALUE"""),42.32)</f>
        <v>42.32</v>
      </c>
      <c r="E33" s="1">
        <f>IFERROR(__xludf.DUMMYFUNCTION("""COMPUTED_VALUE"""),42.71)</f>
        <v>42.71</v>
      </c>
      <c r="F33" s="1">
        <f>IFERROR(__xludf.DUMMYFUNCTION("""COMPUTED_VALUE"""),31653.0)</f>
        <v>31653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IFERROR(__xludf.DUMMYFUNCTION("""COMPUTED_VALUE"""),42.86)</f>
        <v>42.86</v>
      </c>
      <c r="C34" s="1">
        <f>IFERROR(__xludf.DUMMYFUNCTION("""COMPUTED_VALUE"""),43.52)</f>
        <v>43.52</v>
      </c>
      <c r="D34" s="1">
        <f>IFERROR(__xludf.DUMMYFUNCTION("""COMPUTED_VALUE"""),42.74)</f>
        <v>42.74</v>
      </c>
      <c r="E34" s="1">
        <f>IFERROR(__xludf.DUMMYFUNCTION("""COMPUTED_VALUE"""),43.1)</f>
        <v>43.1</v>
      </c>
      <c r="F34" s="1">
        <f>IFERROR(__xludf.DUMMYFUNCTION("""COMPUTED_VALUE"""),58063.0)</f>
        <v>58063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IFERROR(__xludf.DUMMYFUNCTION("""COMPUTED_VALUE"""),43.21)</f>
        <v>43.21</v>
      </c>
      <c r="C35" s="1">
        <f>IFERROR(__xludf.DUMMYFUNCTION("""COMPUTED_VALUE"""),43.49)</f>
        <v>43.49</v>
      </c>
      <c r="D35" s="1">
        <f>IFERROR(__xludf.DUMMYFUNCTION("""COMPUTED_VALUE"""),42.85)</f>
        <v>42.85</v>
      </c>
      <c r="E35" s="1">
        <f>IFERROR(__xludf.DUMMYFUNCTION("""COMPUTED_VALUE"""),43.47)</f>
        <v>43.47</v>
      </c>
      <c r="F35" s="1">
        <f>IFERROR(__xludf.DUMMYFUNCTION("""COMPUTED_VALUE"""),58081.0)</f>
        <v>58081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IFERROR(__xludf.DUMMYFUNCTION("""COMPUTED_VALUE"""),43.36)</f>
        <v>43.36</v>
      </c>
      <c r="C36" s="1">
        <f>IFERROR(__xludf.DUMMYFUNCTION("""COMPUTED_VALUE"""),43.82)</f>
        <v>43.82</v>
      </c>
      <c r="D36" s="1">
        <f>IFERROR(__xludf.DUMMYFUNCTION("""COMPUTED_VALUE"""),42.69)</f>
        <v>42.69</v>
      </c>
      <c r="E36" s="1">
        <f>IFERROR(__xludf.DUMMYFUNCTION("""COMPUTED_VALUE"""),43.6)</f>
        <v>43.6</v>
      </c>
      <c r="F36" s="1">
        <f>IFERROR(__xludf.DUMMYFUNCTION("""COMPUTED_VALUE"""),45289.0)</f>
        <v>45289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IFERROR(__xludf.DUMMYFUNCTION("""COMPUTED_VALUE"""),43.74)</f>
        <v>43.74</v>
      </c>
      <c r="C37" s="1">
        <f>IFERROR(__xludf.DUMMYFUNCTION("""COMPUTED_VALUE"""),44.31)</f>
        <v>44.31</v>
      </c>
      <c r="D37" s="1">
        <f>IFERROR(__xludf.DUMMYFUNCTION("""COMPUTED_VALUE"""),43.65)</f>
        <v>43.65</v>
      </c>
      <c r="E37" s="1">
        <f>IFERROR(__xludf.DUMMYFUNCTION("""COMPUTED_VALUE"""),43.95)</f>
        <v>43.95</v>
      </c>
      <c r="F37" s="1">
        <f>IFERROR(__xludf.DUMMYFUNCTION("""COMPUTED_VALUE"""),22784.0)</f>
        <v>22784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IFERROR(__xludf.DUMMYFUNCTION("""COMPUTED_VALUE"""),43.2)</f>
        <v>43.2</v>
      </c>
      <c r="C38" s="1">
        <f>IFERROR(__xludf.DUMMYFUNCTION("""COMPUTED_VALUE"""),43.61)</f>
        <v>43.61</v>
      </c>
      <c r="D38" s="1">
        <f>IFERROR(__xludf.DUMMYFUNCTION("""COMPUTED_VALUE"""),42.64)</f>
        <v>42.64</v>
      </c>
      <c r="E38" s="1">
        <f>IFERROR(__xludf.DUMMYFUNCTION("""COMPUTED_VALUE"""),43.34)</f>
        <v>43.34</v>
      </c>
      <c r="F38" s="1">
        <f>IFERROR(__xludf.DUMMYFUNCTION("""COMPUTED_VALUE"""),43896.0)</f>
        <v>43896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IFERROR(__xludf.DUMMYFUNCTION("""COMPUTED_VALUE"""),43.17)</f>
        <v>43.17</v>
      </c>
      <c r="C39" s="1">
        <f>IFERROR(__xludf.DUMMYFUNCTION("""COMPUTED_VALUE"""),43.64)</f>
        <v>43.64</v>
      </c>
      <c r="D39" s="1">
        <f>IFERROR(__xludf.DUMMYFUNCTION("""COMPUTED_VALUE"""),42.62)</f>
        <v>42.62</v>
      </c>
      <c r="E39" s="1">
        <f>IFERROR(__xludf.DUMMYFUNCTION("""COMPUTED_VALUE"""),42.71)</f>
        <v>42.71</v>
      </c>
      <c r="F39" s="1">
        <f>IFERROR(__xludf.DUMMYFUNCTION("""COMPUTED_VALUE"""),81678.0)</f>
        <v>81678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IFERROR(__xludf.DUMMYFUNCTION("""COMPUTED_VALUE"""),42.52)</f>
        <v>42.52</v>
      </c>
      <c r="C40" s="1">
        <f>IFERROR(__xludf.DUMMYFUNCTION("""COMPUTED_VALUE"""),43.17)</f>
        <v>43.17</v>
      </c>
      <c r="D40" s="1">
        <f>IFERROR(__xludf.DUMMYFUNCTION("""COMPUTED_VALUE"""),42.12)</f>
        <v>42.12</v>
      </c>
      <c r="E40" s="1">
        <f>IFERROR(__xludf.DUMMYFUNCTION("""COMPUTED_VALUE"""),42.22)</f>
        <v>42.22</v>
      </c>
      <c r="F40" s="1">
        <f>IFERROR(__xludf.DUMMYFUNCTION("""COMPUTED_VALUE"""),97292.0)</f>
        <v>97292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IFERROR(__xludf.DUMMYFUNCTION("""COMPUTED_VALUE"""),42.44)</f>
        <v>42.44</v>
      </c>
      <c r="C41" s="1">
        <f>IFERROR(__xludf.DUMMYFUNCTION("""COMPUTED_VALUE"""),43.45)</f>
        <v>43.45</v>
      </c>
      <c r="D41" s="1">
        <f>IFERROR(__xludf.DUMMYFUNCTION("""COMPUTED_VALUE"""),42.14)</f>
        <v>42.14</v>
      </c>
      <c r="E41" s="1">
        <f>IFERROR(__xludf.DUMMYFUNCTION("""COMPUTED_VALUE"""),42.3)</f>
        <v>42.3</v>
      </c>
      <c r="F41" s="1">
        <f>IFERROR(__xludf.DUMMYFUNCTION("""COMPUTED_VALUE"""),161736.0)</f>
        <v>161736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IFERROR(__xludf.DUMMYFUNCTION("""COMPUTED_VALUE"""),42.61)</f>
        <v>42.61</v>
      </c>
      <c r="C42" s="1">
        <f>IFERROR(__xludf.DUMMYFUNCTION("""COMPUTED_VALUE"""),42.65)</f>
        <v>42.65</v>
      </c>
      <c r="D42" s="1">
        <f>IFERROR(__xludf.DUMMYFUNCTION("""COMPUTED_VALUE"""),42.23)</f>
        <v>42.23</v>
      </c>
      <c r="E42" s="1">
        <f>IFERROR(__xludf.DUMMYFUNCTION("""COMPUTED_VALUE"""),42.32)</f>
        <v>42.32</v>
      </c>
      <c r="F42" s="1">
        <f>IFERROR(__xludf.DUMMYFUNCTION("""COMPUTED_VALUE"""),49668.0)</f>
        <v>49668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IFERROR(__xludf.DUMMYFUNCTION("""COMPUTED_VALUE"""),42.29)</f>
        <v>42.29</v>
      </c>
      <c r="C43" s="1">
        <f>IFERROR(__xludf.DUMMYFUNCTION("""COMPUTED_VALUE"""),42.67)</f>
        <v>42.67</v>
      </c>
      <c r="D43" s="1">
        <f>IFERROR(__xludf.DUMMYFUNCTION("""COMPUTED_VALUE"""),42.23)</f>
        <v>42.23</v>
      </c>
      <c r="E43" s="1">
        <f>IFERROR(__xludf.DUMMYFUNCTION("""COMPUTED_VALUE"""),42.33)</f>
        <v>42.33</v>
      </c>
      <c r="F43" s="1">
        <f>IFERROR(__xludf.DUMMYFUNCTION("""COMPUTED_VALUE"""),48001.0)</f>
        <v>48001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IFERROR(__xludf.DUMMYFUNCTION("""COMPUTED_VALUE"""),42.44)</f>
        <v>42.44</v>
      </c>
      <c r="C44" s="1">
        <f>IFERROR(__xludf.DUMMYFUNCTION("""COMPUTED_VALUE"""),42.53)</f>
        <v>42.53</v>
      </c>
      <c r="D44" s="1">
        <f>IFERROR(__xludf.DUMMYFUNCTION("""COMPUTED_VALUE"""),42.17)</f>
        <v>42.17</v>
      </c>
      <c r="E44" s="1">
        <f>IFERROR(__xludf.DUMMYFUNCTION("""COMPUTED_VALUE"""),42.49)</f>
        <v>42.49</v>
      </c>
      <c r="F44" s="1">
        <f>IFERROR(__xludf.DUMMYFUNCTION("""COMPUTED_VALUE"""),60250.0)</f>
        <v>60250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IFERROR(__xludf.DUMMYFUNCTION("""COMPUTED_VALUE"""),42.58)</f>
        <v>42.58</v>
      </c>
      <c r="C45" s="1">
        <f>IFERROR(__xludf.DUMMYFUNCTION("""COMPUTED_VALUE"""),42.92)</f>
        <v>42.92</v>
      </c>
      <c r="D45" s="1">
        <f>IFERROR(__xludf.DUMMYFUNCTION("""COMPUTED_VALUE"""),42.5)</f>
        <v>42.5</v>
      </c>
      <c r="E45" s="1">
        <f>IFERROR(__xludf.DUMMYFUNCTION("""COMPUTED_VALUE"""),42.65)</f>
        <v>42.65</v>
      </c>
      <c r="F45" s="1">
        <f>IFERROR(__xludf.DUMMYFUNCTION("""COMPUTED_VALUE"""),21555.0)</f>
        <v>21555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IFERROR(__xludf.DUMMYFUNCTION("""COMPUTED_VALUE"""),42.72)</f>
        <v>42.72</v>
      </c>
      <c r="C46" s="1">
        <f>IFERROR(__xludf.DUMMYFUNCTION("""COMPUTED_VALUE"""),43.97)</f>
        <v>43.97</v>
      </c>
      <c r="D46" s="1">
        <f>IFERROR(__xludf.DUMMYFUNCTION("""COMPUTED_VALUE"""),42.56)</f>
        <v>42.56</v>
      </c>
      <c r="E46" s="1">
        <f>IFERROR(__xludf.DUMMYFUNCTION("""COMPUTED_VALUE"""),43.97)</f>
        <v>43.97</v>
      </c>
      <c r="F46" s="1">
        <f>IFERROR(__xludf.DUMMYFUNCTION("""COMPUTED_VALUE"""),90735.0)</f>
        <v>90735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IFERROR(__xludf.DUMMYFUNCTION("""COMPUTED_VALUE"""),43.88)</f>
        <v>43.88</v>
      </c>
      <c r="C47" s="1">
        <f>IFERROR(__xludf.DUMMYFUNCTION("""COMPUTED_VALUE"""),44.32)</f>
        <v>44.32</v>
      </c>
      <c r="D47" s="1">
        <f>IFERROR(__xludf.DUMMYFUNCTION("""COMPUTED_VALUE"""),43.59)</f>
        <v>43.59</v>
      </c>
      <c r="E47" s="1">
        <f>IFERROR(__xludf.DUMMYFUNCTION("""COMPUTED_VALUE"""),44.19)</f>
        <v>44.19</v>
      </c>
      <c r="F47" s="1">
        <f>IFERROR(__xludf.DUMMYFUNCTION("""COMPUTED_VALUE"""),65284.0)</f>
        <v>65284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IFERROR(__xludf.DUMMYFUNCTION("""COMPUTED_VALUE"""),43.7)</f>
        <v>43.7</v>
      </c>
      <c r="C48" s="1">
        <f>IFERROR(__xludf.DUMMYFUNCTION("""COMPUTED_VALUE"""),44.9)</f>
        <v>44.9</v>
      </c>
      <c r="D48" s="1">
        <f>IFERROR(__xludf.DUMMYFUNCTION("""COMPUTED_VALUE"""),43.36)</f>
        <v>43.36</v>
      </c>
      <c r="E48" s="1">
        <f>IFERROR(__xludf.DUMMYFUNCTION("""COMPUTED_VALUE"""),44.27)</f>
        <v>44.27</v>
      </c>
      <c r="F48" s="1">
        <f>IFERROR(__xludf.DUMMYFUNCTION("""COMPUTED_VALUE"""),48021.0)</f>
        <v>48021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IFERROR(__xludf.DUMMYFUNCTION("""COMPUTED_VALUE"""),43.86)</f>
        <v>43.86</v>
      </c>
      <c r="C49" s="1">
        <f>IFERROR(__xludf.DUMMYFUNCTION("""COMPUTED_VALUE"""),44.84)</f>
        <v>44.84</v>
      </c>
      <c r="D49" s="1">
        <f>IFERROR(__xludf.DUMMYFUNCTION("""COMPUTED_VALUE"""),43.52)</f>
        <v>43.52</v>
      </c>
      <c r="E49" s="1">
        <f>IFERROR(__xludf.DUMMYFUNCTION("""COMPUTED_VALUE"""),44.12)</f>
        <v>44.12</v>
      </c>
      <c r="F49" s="1">
        <f>IFERROR(__xludf.DUMMYFUNCTION("""COMPUTED_VALUE"""),79602.0)</f>
        <v>79602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IFERROR(__xludf.DUMMYFUNCTION("""COMPUTED_VALUE"""),44.13)</f>
        <v>44.13</v>
      </c>
      <c r="C50" s="1">
        <f>IFERROR(__xludf.DUMMYFUNCTION("""COMPUTED_VALUE"""),44.79)</f>
        <v>44.79</v>
      </c>
      <c r="D50" s="1">
        <f>IFERROR(__xludf.DUMMYFUNCTION("""COMPUTED_VALUE"""),43.88)</f>
        <v>43.88</v>
      </c>
      <c r="E50" s="1">
        <f>IFERROR(__xludf.DUMMYFUNCTION("""COMPUTED_VALUE"""),44.22)</f>
        <v>44.22</v>
      </c>
      <c r="F50" s="1">
        <f>IFERROR(__xludf.DUMMYFUNCTION("""COMPUTED_VALUE"""),68691.0)</f>
        <v>68691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IFERROR(__xludf.DUMMYFUNCTION("""COMPUTED_VALUE"""),44.24)</f>
        <v>44.24</v>
      </c>
      <c r="C51" s="1">
        <f>IFERROR(__xludf.DUMMYFUNCTION("""COMPUTED_VALUE"""),44.24)</f>
        <v>44.24</v>
      </c>
      <c r="D51" s="1">
        <f>IFERROR(__xludf.DUMMYFUNCTION("""COMPUTED_VALUE"""),43.7)</f>
        <v>43.7</v>
      </c>
      <c r="E51" s="1">
        <f>IFERROR(__xludf.DUMMYFUNCTION("""COMPUTED_VALUE"""),44.11)</f>
        <v>44.11</v>
      </c>
      <c r="F51" s="1">
        <f>IFERROR(__xludf.DUMMYFUNCTION("""COMPUTED_VALUE"""),29817.0)</f>
        <v>29817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IFERROR(__xludf.DUMMYFUNCTION("""COMPUTED_VALUE"""),43.96)</f>
        <v>43.96</v>
      </c>
      <c r="C52" s="1">
        <f>IFERROR(__xludf.DUMMYFUNCTION("""COMPUTED_VALUE"""),44.61)</f>
        <v>44.61</v>
      </c>
      <c r="D52" s="1">
        <f>IFERROR(__xludf.DUMMYFUNCTION("""COMPUTED_VALUE"""),43.95)</f>
        <v>43.95</v>
      </c>
      <c r="E52" s="1">
        <f>IFERROR(__xludf.DUMMYFUNCTION("""COMPUTED_VALUE"""),44.38)</f>
        <v>44.38</v>
      </c>
      <c r="F52" s="1">
        <f>IFERROR(__xludf.DUMMYFUNCTION("""COMPUTED_VALUE"""),24592.0)</f>
        <v>24592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IFERROR(__xludf.DUMMYFUNCTION("""COMPUTED_VALUE"""),44.01)</f>
        <v>44.01</v>
      </c>
      <c r="C53" s="1">
        <f>IFERROR(__xludf.DUMMYFUNCTION("""COMPUTED_VALUE"""),44.72)</f>
        <v>44.72</v>
      </c>
      <c r="D53" s="1">
        <f>IFERROR(__xludf.DUMMYFUNCTION("""COMPUTED_VALUE"""),44.01)</f>
        <v>44.01</v>
      </c>
      <c r="E53" s="1">
        <f>IFERROR(__xludf.DUMMYFUNCTION("""COMPUTED_VALUE"""),44.43)</f>
        <v>44.43</v>
      </c>
      <c r="F53" s="1">
        <f>IFERROR(__xludf.DUMMYFUNCTION("""COMPUTED_VALUE"""),41325.0)</f>
        <v>41325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IFERROR(__xludf.DUMMYFUNCTION("""COMPUTED_VALUE"""),44.61)</f>
        <v>44.61</v>
      </c>
      <c r="C54" s="1">
        <f>IFERROR(__xludf.DUMMYFUNCTION("""COMPUTED_VALUE"""),44.66)</f>
        <v>44.66</v>
      </c>
      <c r="D54" s="1">
        <f>IFERROR(__xludf.DUMMYFUNCTION("""COMPUTED_VALUE"""),43.89)</f>
        <v>43.89</v>
      </c>
      <c r="E54" s="1">
        <f>IFERROR(__xludf.DUMMYFUNCTION("""COMPUTED_VALUE"""),44.01)</f>
        <v>44.01</v>
      </c>
      <c r="F54" s="1">
        <f>IFERROR(__xludf.DUMMYFUNCTION("""COMPUTED_VALUE"""),79752.0)</f>
        <v>79752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IFERROR(__xludf.DUMMYFUNCTION("""COMPUTED_VALUE"""),44.06)</f>
        <v>44.06</v>
      </c>
      <c r="C55" s="1">
        <f>IFERROR(__xludf.DUMMYFUNCTION("""COMPUTED_VALUE"""),44.53)</f>
        <v>44.53</v>
      </c>
      <c r="D55" s="1">
        <f>IFERROR(__xludf.DUMMYFUNCTION("""COMPUTED_VALUE"""),43.89)</f>
        <v>43.89</v>
      </c>
      <c r="E55" s="1">
        <f>IFERROR(__xludf.DUMMYFUNCTION("""COMPUTED_VALUE"""),44.33)</f>
        <v>44.33</v>
      </c>
      <c r="F55" s="1">
        <f>IFERROR(__xludf.DUMMYFUNCTION("""COMPUTED_VALUE"""),17548.0)</f>
        <v>17548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IFERROR(__xludf.DUMMYFUNCTION("""COMPUTED_VALUE"""),44.64)</f>
        <v>44.64</v>
      </c>
      <c r="C56" s="1">
        <f>IFERROR(__xludf.DUMMYFUNCTION("""COMPUTED_VALUE"""),44.72)</f>
        <v>44.72</v>
      </c>
      <c r="D56" s="1">
        <f>IFERROR(__xludf.DUMMYFUNCTION("""COMPUTED_VALUE"""),44.16)</f>
        <v>44.16</v>
      </c>
      <c r="E56" s="1">
        <f>IFERROR(__xludf.DUMMYFUNCTION("""COMPUTED_VALUE"""),44.64)</f>
        <v>44.64</v>
      </c>
      <c r="F56" s="1">
        <f>IFERROR(__xludf.DUMMYFUNCTION("""COMPUTED_VALUE"""),41447.0)</f>
        <v>41447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IFERROR(__xludf.DUMMYFUNCTION("""COMPUTED_VALUE"""),44.58)</f>
        <v>44.58</v>
      </c>
      <c r="C57" s="1">
        <f>IFERROR(__xludf.DUMMYFUNCTION("""COMPUTED_VALUE"""),44.7)</f>
        <v>44.7</v>
      </c>
      <c r="D57" s="1">
        <f>IFERROR(__xludf.DUMMYFUNCTION("""COMPUTED_VALUE"""),44.37)</f>
        <v>44.37</v>
      </c>
      <c r="E57" s="1">
        <f>IFERROR(__xludf.DUMMYFUNCTION("""COMPUTED_VALUE"""),44.59)</f>
        <v>44.59</v>
      </c>
      <c r="F57" s="1">
        <f>IFERROR(__xludf.DUMMYFUNCTION("""COMPUTED_VALUE"""),38190.0)</f>
        <v>38190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IFERROR(__xludf.DUMMYFUNCTION("""COMPUTED_VALUE"""),44.81)</f>
        <v>44.81</v>
      </c>
      <c r="C58" s="1">
        <f>IFERROR(__xludf.DUMMYFUNCTION("""COMPUTED_VALUE"""),44.81)</f>
        <v>44.81</v>
      </c>
      <c r="D58" s="1">
        <f>IFERROR(__xludf.DUMMYFUNCTION("""COMPUTED_VALUE"""),44.01)</f>
        <v>44.01</v>
      </c>
      <c r="E58" s="1">
        <f>IFERROR(__xludf.DUMMYFUNCTION("""COMPUTED_VALUE"""),44.25)</f>
        <v>44.25</v>
      </c>
      <c r="F58" s="1">
        <f>IFERROR(__xludf.DUMMYFUNCTION("""COMPUTED_VALUE"""),43370.0)</f>
        <v>43370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IFERROR(__xludf.DUMMYFUNCTION("""COMPUTED_VALUE"""),44.15)</f>
        <v>44.15</v>
      </c>
      <c r="C59" s="1">
        <f>IFERROR(__xludf.DUMMYFUNCTION("""COMPUTED_VALUE"""),44.52)</f>
        <v>44.52</v>
      </c>
      <c r="D59" s="1">
        <f>IFERROR(__xludf.DUMMYFUNCTION("""COMPUTED_VALUE"""),44.12)</f>
        <v>44.12</v>
      </c>
      <c r="E59" s="1">
        <f>IFERROR(__xludf.DUMMYFUNCTION("""COMPUTED_VALUE"""),44.32)</f>
        <v>44.32</v>
      </c>
      <c r="F59" s="1">
        <f>IFERROR(__xludf.DUMMYFUNCTION("""COMPUTED_VALUE"""),35556.0)</f>
        <v>35556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IFERROR(__xludf.DUMMYFUNCTION("""COMPUTED_VALUE"""),44.4)</f>
        <v>44.4</v>
      </c>
      <c r="C60" s="1">
        <f>IFERROR(__xludf.DUMMYFUNCTION("""COMPUTED_VALUE"""),44.4)</f>
        <v>44.4</v>
      </c>
      <c r="D60" s="1">
        <f>IFERROR(__xludf.DUMMYFUNCTION("""COMPUTED_VALUE"""),43.77)</f>
        <v>43.77</v>
      </c>
      <c r="E60" s="1">
        <f>IFERROR(__xludf.DUMMYFUNCTION("""COMPUTED_VALUE"""),43.95)</f>
        <v>43.95</v>
      </c>
      <c r="F60" s="1">
        <f>IFERROR(__xludf.DUMMYFUNCTION("""COMPUTED_VALUE"""),33012.0)</f>
        <v>33012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IFERROR(__xludf.DUMMYFUNCTION("""COMPUTED_VALUE"""),44.04)</f>
        <v>44.04</v>
      </c>
      <c r="C61" s="1">
        <f>IFERROR(__xludf.DUMMYFUNCTION("""COMPUTED_VALUE"""),44.36)</f>
        <v>44.36</v>
      </c>
      <c r="D61" s="1">
        <f>IFERROR(__xludf.DUMMYFUNCTION("""COMPUTED_VALUE"""),43.56)</f>
        <v>43.56</v>
      </c>
      <c r="E61" s="1">
        <f>IFERROR(__xludf.DUMMYFUNCTION("""COMPUTED_VALUE"""),43.65)</f>
        <v>43.65</v>
      </c>
      <c r="F61" s="1">
        <f>IFERROR(__xludf.DUMMYFUNCTION("""COMPUTED_VALUE"""),34497.0)</f>
        <v>34497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IFERROR(__xludf.DUMMYFUNCTION("""COMPUTED_VALUE"""),44.0)</f>
        <v>44</v>
      </c>
      <c r="C62" s="1">
        <f>IFERROR(__xludf.DUMMYFUNCTION("""COMPUTED_VALUE"""),44.06)</f>
        <v>44.06</v>
      </c>
      <c r="D62" s="1">
        <f>IFERROR(__xludf.DUMMYFUNCTION("""COMPUTED_VALUE"""),43.47)</f>
        <v>43.47</v>
      </c>
      <c r="E62" s="1">
        <f>IFERROR(__xludf.DUMMYFUNCTION("""COMPUTED_VALUE"""),43.47)</f>
        <v>43.47</v>
      </c>
      <c r="F62" s="1">
        <f>IFERROR(__xludf.DUMMYFUNCTION("""COMPUTED_VALUE"""),56583.0)</f>
        <v>56583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IFERROR(__xludf.DUMMYFUNCTION("""COMPUTED_VALUE"""),43.57)</f>
        <v>43.57</v>
      </c>
      <c r="C63" s="1">
        <f>IFERROR(__xludf.DUMMYFUNCTION("""COMPUTED_VALUE"""),43.74)</f>
        <v>43.74</v>
      </c>
      <c r="D63" s="1">
        <f>IFERROR(__xludf.DUMMYFUNCTION("""COMPUTED_VALUE"""),43.06)</f>
        <v>43.06</v>
      </c>
      <c r="E63" s="1">
        <f>IFERROR(__xludf.DUMMYFUNCTION("""COMPUTED_VALUE"""),43.18)</f>
        <v>43.18</v>
      </c>
      <c r="F63" s="1">
        <f>IFERROR(__xludf.DUMMYFUNCTION("""COMPUTED_VALUE"""),44006.0)</f>
        <v>44006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IFERROR(__xludf.DUMMYFUNCTION("""COMPUTED_VALUE"""),43.25)</f>
        <v>43.25</v>
      </c>
      <c r="C64" s="1">
        <f>IFERROR(__xludf.DUMMYFUNCTION("""COMPUTED_VALUE"""),43.51)</f>
        <v>43.51</v>
      </c>
      <c r="D64" s="1">
        <f>IFERROR(__xludf.DUMMYFUNCTION("""COMPUTED_VALUE"""),43.1)</f>
        <v>43.1</v>
      </c>
      <c r="E64" s="1">
        <f>IFERROR(__xludf.DUMMYFUNCTION("""COMPUTED_VALUE"""),43.51)</f>
        <v>43.51</v>
      </c>
      <c r="F64" s="1">
        <f>IFERROR(__xludf.DUMMYFUNCTION("""COMPUTED_VALUE"""),30842.0)</f>
        <v>30842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IFERROR(__xludf.DUMMYFUNCTION("""COMPUTED_VALUE"""),43.45)</f>
        <v>43.45</v>
      </c>
      <c r="C65" s="1">
        <f>IFERROR(__xludf.DUMMYFUNCTION("""COMPUTED_VALUE"""),44.2)</f>
        <v>44.2</v>
      </c>
      <c r="D65" s="1">
        <f>IFERROR(__xludf.DUMMYFUNCTION("""COMPUTED_VALUE"""),43.33)</f>
        <v>43.33</v>
      </c>
      <c r="E65" s="1">
        <f>IFERROR(__xludf.DUMMYFUNCTION("""COMPUTED_VALUE"""),44.05)</f>
        <v>44.05</v>
      </c>
      <c r="F65" s="1">
        <f>IFERROR(__xludf.DUMMYFUNCTION("""COMPUTED_VALUE"""),27005.0)</f>
        <v>27005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IFERROR(__xludf.DUMMYFUNCTION("""COMPUTED_VALUE"""),43.98)</f>
        <v>43.98</v>
      </c>
      <c r="C66" s="1">
        <f>IFERROR(__xludf.DUMMYFUNCTION("""COMPUTED_VALUE"""),44.15)</f>
        <v>44.15</v>
      </c>
      <c r="D66" s="1">
        <f>IFERROR(__xludf.DUMMYFUNCTION("""COMPUTED_VALUE"""),43.78)</f>
        <v>43.78</v>
      </c>
      <c r="E66" s="1">
        <f>IFERROR(__xludf.DUMMYFUNCTION("""COMPUTED_VALUE"""),44.03)</f>
        <v>44.03</v>
      </c>
      <c r="F66" s="1">
        <f>IFERROR(__xludf.DUMMYFUNCTION("""COMPUTED_VALUE"""),37737.0)</f>
        <v>37737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IFERROR(__xludf.DUMMYFUNCTION("""COMPUTED_VALUE"""),43.91)</f>
        <v>43.91</v>
      </c>
      <c r="C67" s="1">
        <f>IFERROR(__xludf.DUMMYFUNCTION("""COMPUTED_VALUE"""),44.37)</f>
        <v>44.37</v>
      </c>
      <c r="D67" s="1">
        <f>IFERROR(__xludf.DUMMYFUNCTION("""COMPUTED_VALUE"""),43.87)</f>
        <v>43.87</v>
      </c>
      <c r="E67" s="1">
        <f>IFERROR(__xludf.DUMMYFUNCTION("""COMPUTED_VALUE"""),44.07)</f>
        <v>44.07</v>
      </c>
      <c r="F67" s="1">
        <f>IFERROR(__xludf.DUMMYFUNCTION("""COMPUTED_VALUE"""),26384.0)</f>
        <v>26384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IFERROR(__xludf.DUMMYFUNCTION("""COMPUTED_VALUE"""),44.37)</f>
        <v>44.37</v>
      </c>
      <c r="C68" s="1">
        <f>IFERROR(__xludf.DUMMYFUNCTION("""COMPUTED_VALUE"""),44.37)</f>
        <v>44.37</v>
      </c>
      <c r="D68" s="1">
        <f>IFERROR(__xludf.DUMMYFUNCTION("""COMPUTED_VALUE"""),43.84)</f>
        <v>43.84</v>
      </c>
      <c r="E68" s="1">
        <f>IFERROR(__xludf.DUMMYFUNCTION("""COMPUTED_VALUE"""),44.02)</f>
        <v>44.02</v>
      </c>
      <c r="F68" s="1">
        <f>IFERROR(__xludf.DUMMYFUNCTION("""COMPUTED_VALUE"""),26480.0)</f>
        <v>26480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IFERROR(__xludf.DUMMYFUNCTION("""COMPUTED_VALUE"""),43.88)</f>
        <v>43.88</v>
      </c>
      <c r="C69" s="1">
        <f>IFERROR(__xludf.DUMMYFUNCTION("""COMPUTED_VALUE"""),44.02)</f>
        <v>44.02</v>
      </c>
      <c r="D69" s="1">
        <f>IFERROR(__xludf.DUMMYFUNCTION("""COMPUTED_VALUE"""),43.7)</f>
        <v>43.7</v>
      </c>
      <c r="E69" s="1">
        <f>IFERROR(__xludf.DUMMYFUNCTION("""COMPUTED_VALUE"""),44.0)</f>
        <v>44</v>
      </c>
      <c r="F69" s="1">
        <f>IFERROR(__xludf.DUMMYFUNCTION("""COMPUTED_VALUE"""),25241.0)</f>
        <v>25241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IFERROR(__xludf.DUMMYFUNCTION("""COMPUTED_VALUE"""),43.89)</f>
        <v>43.89</v>
      </c>
      <c r="C70" s="1">
        <f>IFERROR(__xludf.DUMMYFUNCTION("""COMPUTED_VALUE"""),44.06)</f>
        <v>44.06</v>
      </c>
      <c r="D70" s="1">
        <f>IFERROR(__xludf.DUMMYFUNCTION("""COMPUTED_VALUE"""),43.43)</f>
        <v>43.43</v>
      </c>
      <c r="E70" s="1">
        <f>IFERROR(__xludf.DUMMYFUNCTION("""COMPUTED_VALUE"""),43.74)</f>
        <v>43.74</v>
      </c>
      <c r="F70" s="1">
        <f>IFERROR(__xludf.DUMMYFUNCTION("""COMPUTED_VALUE"""),66814.0)</f>
        <v>66814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IFERROR(__xludf.DUMMYFUNCTION("""COMPUTED_VALUE"""),43.78)</f>
        <v>43.78</v>
      </c>
      <c r="C71" s="1">
        <f>IFERROR(__xludf.DUMMYFUNCTION("""COMPUTED_VALUE"""),43.9)</f>
        <v>43.9</v>
      </c>
      <c r="D71" s="1">
        <f>IFERROR(__xludf.DUMMYFUNCTION("""COMPUTED_VALUE"""),42.98)</f>
        <v>42.98</v>
      </c>
      <c r="E71" s="1">
        <f>IFERROR(__xludf.DUMMYFUNCTION("""COMPUTED_VALUE"""),43.43)</f>
        <v>43.43</v>
      </c>
      <c r="F71" s="1">
        <f>IFERROR(__xludf.DUMMYFUNCTION("""COMPUTED_VALUE"""),205848.0)</f>
        <v>205848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IFERROR(__xludf.DUMMYFUNCTION("""COMPUTED_VALUE"""),43.4)</f>
        <v>43.4</v>
      </c>
      <c r="C72" s="1">
        <f>IFERROR(__xludf.DUMMYFUNCTION("""COMPUTED_VALUE"""),43.75)</f>
        <v>43.75</v>
      </c>
      <c r="D72" s="1">
        <f>IFERROR(__xludf.DUMMYFUNCTION("""COMPUTED_VALUE"""),43.27)</f>
        <v>43.27</v>
      </c>
      <c r="E72" s="1">
        <f>IFERROR(__xludf.DUMMYFUNCTION("""COMPUTED_VALUE"""),43.3)</f>
        <v>43.3</v>
      </c>
      <c r="F72" s="1">
        <f>IFERROR(__xludf.DUMMYFUNCTION("""COMPUTED_VALUE"""),107560.0)</f>
        <v>107560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IFERROR(__xludf.DUMMYFUNCTION("""COMPUTED_VALUE"""),43.37)</f>
        <v>43.37</v>
      </c>
      <c r="C73" s="1">
        <f>IFERROR(__xludf.DUMMYFUNCTION("""COMPUTED_VALUE"""),44.21)</f>
        <v>44.21</v>
      </c>
      <c r="D73" s="1">
        <f>IFERROR(__xludf.DUMMYFUNCTION("""COMPUTED_VALUE"""),42.56)</f>
        <v>42.56</v>
      </c>
      <c r="E73" s="1">
        <f>IFERROR(__xludf.DUMMYFUNCTION("""COMPUTED_VALUE"""),44.1)</f>
        <v>44.1</v>
      </c>
      <c r="F73" s="1">
        <f>IFERROR(__xludf.DUMMYFUNCTION("""COMPUTED_VALUE"""),89603.0)</f>
        <v>89603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IFERROR(__xludf.DUMMYFUNCTION("""COMPUTED_VALUE"""),44.01)</f>
        <v>44.01</v>
      </c>
      <c r="C74" s="1">
        <f>IFERROR(__xludf.DUMMYFUNCTION("""COMPUTED_VALUE"""),44.86)</f>
        <v>44.86</v>
      </c>
      <c r="D74" s="1">
        <f>IFERROR(__xludf.DUMMYFUNCTION("""COMPUTED_VALUE"""),43.92)</f>
        <v>43.92</v>
      </c>
      <c r="E74" s="1">
        <f>IFERROR(__xludf.DUMMYFUNCTION("""COMPUTED_VALUE"""),44.49)</f>
        <v>44.49</v>
      </c>
      <c r="F74" s="1">
        <f>IFERROR(__xludf.DUMMYFUNCTION("""COMPUTED_VALUE"""),71086.0)</f>
        <v>71086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IFERROR(__xludf.DUMMYFUNCTION("""COMPUTED_VALUE"""),44.45)</f>
        <v>44.45</v>
      </c>
      <c r="C75" s="1">
        <f>IFERROR(__xludf.DUMMYFUNCTION("""COMPUTED_VALUE"""),46.22)</f>
        <v>46.22</v>
      </c>
      <c r="D75" s="1">
        <f>IFERROR(__xludf.DUMMYFUNCTION("""COMPUTED_VALUE"""),44.45)</f>
        <v>44.45</v>
      </c>
      <c r="E75" s="1">
        <f>IFERROR(__xludf.DUMMYFUNCTION("""COMPUTED_VALUE"""),46.2)</f>
        <v>46.2</v>
      </c>
      <c r="F75" s="1">
        <f>IFERROR(__xludf.DUMMYFUNCTION("""COMPUTED_VALUE"""),97151.0)</f>
        <v>97151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IFERROR(__xludf.DUMMYFUNCTION("""COMPUTED_VALUE"""),46.19)</f>
        <v>46.19</v>
      </c>
      <c r="C76" s="1">
        <f>IFERROR(__xludf.DUMMYFUNCTION("""COMPUTED_VALUE"""),47.13)</f>
        <v>47.13</v>
      </c>
      <c r="D76" s="1">
        <f>IFERROR(__xludf.DUMMYFUNCTION("""COMPUTED_VALUE"""),45.82)</f>
        <v>45.82</v>
      </c>
      <c r="E76" s="1">
        <f>IFERROR(__xludf.DUMMYFUNCTION("""COMPUTED_VALUE"""),46.88)</f>
        <v>46.88</v>
      </c>
      <c r="F76" s="1">
        <f>IFERROR(__xludf.DUMMYFUNCTION("""COMPUTED_VALUE"""),88337.0)</f>
        <v>88337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IFERROR(__xludf.DUMMYFUNCTION("""COMPUTED_VALUE"""),46.49)</f>
        <v>46.49</v>
      </c>
      <c r="C77" s="1">
        <f>IFERROR(__xludf.DUMMYFUNCTION("""COMPUTED_VALUE"""),47.17)</f>
        <v>47.17</v>
      </c>
      <c r="D77" s="1">
        <f>IFERROR(__xludf.DUMMYFUNCTION("""COMPUTED_VALUE"""),46.08)</f>
        <v>46.08</v>
      </c>
      <c r="E77" s="1">
        <f>IFERROR(__xludf.DUMMYFUNCTION("""COMPUTED_VALUE"""),47.17)</f>
        <v>47.17</v>
      </c>
      <c r="F77" s="1">
        <f>IFERROR(__xludf.DUMMYFUNCTION("""COMPUTED_VALUE"""),81087.0)</f>
        <v>81087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IFERROR(__xludf.DUMMYFUNCTION("""COMPUTED_VALUE"""),46.85)</f>
        <v>46.85</v>
      </c>
      <c r="C78" s="1">
        <f>IFERROR(__xludf.DUMMYFUNCTION("""COMPUTED_VALUE"""),48.27)</f>
        <v>48.27</v>
      </c>
      <c r="D78" s="1">
        <f>IFERROR(__xludf.DUMMYFUNCTION("""COMPUTED_VALUE"""),46.85)</f>
        <v>46.85</v>
      </c>
      <c r="E78" s="1">
        <f>IFERROR(__xludf.DUMMYFUNCTION("""COMPUTED_VALUE"""),47.64)</f>
        <v>47.64</v>
      </c>
      <c r="F78" s="1">
        <f>IFERROR(__xludf.DUMMYFUNCTION("""COMPUTED_VALUE"""),113846.0)</f>
        <v>113846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IFERROR(__xludf.DUMMYFUNCTION("""COMPUTED_VALUE"""),47.23)</f>
        <v>47.23</v>
      </c>
      <c r="C79" s="1">
        <f>IFERROR(__xludf.DUMMYFUNCTION("""COMPUTED_VALUE"""),47.75)</f>
        <v>47.75</v>
      </c>
      <c r="D79" s="1">
        <f>IFERROR(__xludf.DUMMYFUNCTION("""COMPUTED_VALUE"""),47.08)</f>
        <v>47.08</v>
      </c>
      <c r="E79" s="1">
        <f>IFERROR(__xludf.DUMMYFUNCTION("""COMPUTED_VALUE"""),47.33)</f>
        <v>47.33</v>
      </c>
      <c r="F79" s="1">
        <f>IFERROR(__xludf.DUMMYFUNCTION("""COMPUTED_VALUE"""),63561.0)</f>
        <v>63561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IFERROR(__xludf.DUMMYFUNCTION("""COMPUTED_VALUE"""),46.98)</f>
        <v>46.98</v>
      </c>
      <c r="C80" s="1">
        <f>IFERROR(__xludf.DUMMYFUNCTION("""COMPUTED_VALUE"""),47.54)</f>
        <v>47.54</v>
      </c>
      <c r="D80" s="1">
        <f>IFERROR(__xludf.DUMMYFUNCTION("""COMPUTED_VALUE"""),46.49)</f>
        <v>46.49</v>
      </c>
      <c r="E80" s="1">
        <f>IFERROR(__xludf.DUMMYFUNCTION("""COMPUTED_VALUE"""),47.02)</f>
        <v>47.02</v>
      </c>
      <c r="F80" s="1">
        <f>IFERROR(__xludf.DUMMYFUNCTION("""COMPUTED_VALUE"""),114548.0)</f>
        <v>114548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IFERROR(__xludf.DUMMYFUNCTION("""COMPUTED_VALUE"""),47.12)</f>
        <v>47.12</v>
      </c>
      <c r="C81" s="1">
        <f>IFERROR(__xludf.DUMMYFUNCTION("""COMPUTED_VALUE"""),47.71)</f>
        <v>47.71</v>
      </c>
      <c r="D81" s="1">
        <f>IFERROR(__xludf.DUMMYFUNCTION("""COMPUTED_VALUE"""),46.86)</f>
        <v>46.86</v>
      </c>
      <c r="E81" s="1">
        <f>IFERROR(__xludf.DUMMYFUNCTION("""COMPUTED_VALUE"""),47.23)</f>
        <v>47.23</v>
      </c>
      <c r="F81" s="1">
        <f>IFERROR(__xludf.DUMMYFUNCTION("""COMPUTED_VALUE"""),61156.0)</f>
        <v>61156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IFERROR(__xludf.DUMMYFUNCTION("""COMPUTED_VALUE"""),47.56)</f>
        <v>47.56</v>
      </c>
      <c r="C82" s="1">
        <f>IFERROR(__xludf.DUMMYFUNCTION("""COMPUTED_VALUE"""),48.24)</f>
        <v>48.24</v>
      </c>
      <c r="D82" s="1">
        <f>IFERROR(__xludf.DUMMYFUNCTION("""COMPUTED_VALUE"""),47.09)</f>
        <v>47.09</v>
      </c>
      <c r="E82" s="1">
        <f>IFERROR(__xludf.DUMMYFUNCTION("""COMPUTED_VALUE"""),48.16)</f>
        <v>48.16</v>
      </c>
      <c r="F82" s="1">
        <f>IFERROR(__xludf.DUMMYFUNCTION("""COMPUTED_VALUE"""),64630.0)</f>
        <v>64630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IFERROR(__xludf.DUMMYFUNCTION("""COMPUTED_VALUE"""),48.13)</f>
        <v>48.13</v>
      </c>
      <c r="C83" s="1">
        <f>IFERROR(__xludf.DUMMYFUNCTION("""COMPUTED_VALUE"""),48.15)</f>
        <v>48.15</v>
      </c>
      <c r="D83" s="1">
        <f>IFERROR(__xludf.DUMMYFUNCTION("""COMPUTED_VALUE"""),46.57)</f>
        <v>46.57</v>
      </c>
      <c r="E83" s="1">
        <f>IFERROR(__xludf.DUMMYFUNCTION("""COMPUTED_VALUE"""),46.59)</f>
        <v>46.59</v>
      </c>
      <c r="F83" s="1">
        <f>IFERROR(__xludf.DUMMYFUNCTION("""COMPUTED_VALUE"""),112869.0)</f>
        <v>112869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IFERROR(__xludf.DUMMYFUNCTION("""COMPUTED_VALUE"""),46.97)</f>
        <v>46.97</v>
      </c>
      <c r="C84" s="1">
        <f>IFERROR(__xludf.DUMMYFUNCTION("""COMPUTED_VALUE"""),48.29)</f>
        <v>48.29</v>
      </c>
      <c r="D84" s="1">
        <f>IFERROR(__xludf.DUMMYFUNCTION("""COMPUTED_VALUE"""),46.59)</f>
        <v>46.59</v>
      </c>
      <c r="E84" s="1">
        <f>IFERROR(__xludf.DUMMYFUNCTION("""COMPUTED_VALUE"""),48.22)</f>
        <v>48.22</v>
      </c>
      <c r="F84" s="1">
        <f>IFERROR(__xludf.DUMMYFUNCTION("""COMPUTED_VALUE"""),55816.0)</f>
        <v>55816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IFERROR(__xludf.DUMMYFUNCTION("""COMPUTED_VALUE"""),47.6)</f>
        <v>47.6</v>
      </c>
      <c r="C85" s="1">
        <f>IFERROR(__xludf.DUMMYFUNCTION("""COMPUTED_VALUE"""),47.69)</f>
        <v>47.69</v>
      </c>
      <c r="D85" s="1">
        <f>IFERROR(__xludf.DUMMYFUNCTION("""COMPUTED_VALUE"""),46.96)</f>
        <v>46.96</v>
      </c>
      <c r="E85" s="1">
        <f>IFERROR(__xludf.DUMMYFUNCTION("""COMPUTED_VALUE"""),47.16)</f>
        <v>47.16</v>
      </c>
      <c r="F85" s="1">
        <f>IFERROR(__xludf.DUMMYFUNCTION("""COMPUTED_VALUE"""),52892.0)</f>
        <v>52892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IFERROR(__xludf.DUMMYFUNCTION("""COMPUTED_VALUE"""),46.92)</f>
        <v>46.92</v>
      </c>
      <c r="C86" s="1">
        <f>IFERROR(__xludf.DUMMYFUNCTION("""COMPUTED_VALUE"""),47.23)</f>
        <v>47.23</v>
      </c>
      <c r="D86" s="1">
        <f>IFERROR(__xludf.DUMMYFUNCTION("""COMPUTED_VALUE"""),46.58)</f>
        <v>46.58</v>
      </c>
      <c r="E86" s="1">
        <f>IFERROR(__xludf.DUMMYFUNCTION("""COMPUTED_VALUE"""),46.63)</f>
        <v>46.63</v>
      </c>
      <c r="F86" s="1">
        <f>IFERROR(__xludf.DUMMYFUNCTION("""COMPUTED_VALUE"""),33155.0)</f>
        <v>33155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IFERROR(__xludf.DUMMYFUNCTION("""COMPUTED_VALUE"""),46.64)</f>
        <v>46.64</v>
      </c>
      <c r="C87" s="1">
        <f>IFERROR(__xludf.DUMMYFUNCTION("""COMPUTED_VALUE"""),46.86)</f>
        <v>46.86</v>
      </c>
      <c r="D87" s="1">
        <f>IFERROR(__xludf.DUMMYFUNCTION("""COMPUTED_VALUE"""),44.41)</f>
        <v>44.41</v>
      </c>
      <c r="E87" s="1">
        <f>IFERROR(__xludf.DUMMYFUNCTION("""COMPUTED_VALUE"""),45.36)</f>
        <v>45.36</v>
      </c>
      <c r="F87" s="1">
        <f>IFERROR(__xludf.DUMMYFUNCTION("""COMPUTED_VALUE"""),95194.0)</f>
        <v>95194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IFERROR(__xludf.DUMMYFUNCTION("""COMPUTED_VALUE"""),45.63)</f>
        <v>45.63</v>
      </c>
      <c r="C88" s="1">
        <f>IFERROR(__xludf.DUMMYFUNCTION("""COMPUTED_VALUE"""),45.63)</f>
        <v>45.63</v>
      </c>
      <c r="D88" s="1">
        <f>IFERROR(__xludf.DUMMYFUNCTION("""COMPUTED_VALUE"""),44.8)</f>
        <v>44.8</v>
      </c>
      <c r="E88" s="1">
        <f>IFERROR(__xludf.DUMMYFUNCTION("""COMPUTED_VALUE"""),44.88)</f>
        <v>44.88</v>
      </c>
      <c r="F88" s="1">
        <f>IFERROR(__xludf.DUMMYFUNCTION("""COMPUTED_VALUE"""),89041.0)</f>
        <v>89041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IFERROR(__xludf.DUMMYFUNCTION("""COMPUTED_VALUE"""),46.25)</f>
        <v>46.25</v>
      </c>
      <c r="C89" s="1">
        <f>IFERROR(__xludf.DUMMYFUNCTION("""COMPUTED_VALUE"""),46.57)</f>
        <v>46.57</v>
      </c>
      <c r="D89" s="1">
        <f>IFERROR(__xludf.DUMMYFUNCTION("""COMPUTED_VALUE"""),45.78)</f>
        <v>45.78</v>
      </c>
      <c r="E89" s="1">
        <f>IFERROR(__xludf.DUMMYFUNCTION("""COMPUTED_VALUE"""),46.28)</f>
        <v>46.28</v>
      </c>
      <c r="F89" s="1">
        <f>IFERROR(__xludf.DUMMYFUNCTION("""COMPUTED_VALUE"""),43857.0)</f>
        <v>43857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IFERROR(__xludf.DUMMYFUNCTION("""COMPUTED_VALUE"""),46.38)</f>
        <v>46.38</v>
      </c>
      <c r="C90" s="1">
        <f>IFERROR(__xludf.DUMMYFUNCTION("""COMPUTED_VALUE"""),47.49)</f>
        <v>47.49</v>
      </c>
      <c r="D90" s="1">
        <f>IFERROR(__xludf.DUMMYFUNCTION("""COMPUTED_VALUE"""),45.78)</f>
        <v>45.78</v>
      </c>
      <c r="E90" s="1">
        <f>IFERROR(__xludf.DUMMYFUNCTION("""COMPUTED_VALUE"""),47.28)</f>
        <v>47.28</v>
      </c>
      <c r="F90" s="1">
        <f>IFERROR(__xludf.DUMMYFUNCTION("""COMPUTED_VALUE"""),29063.0)</f>
        <v>29063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IFERROR(__xludf.DUMMYFUNCTION("""COMPUTED_VALUE"""),47.67)</f>
        <v>47.67</v>
      </c>
      <c r="C91" s="1">
        <f>IFERROR(__xludf.DUMMYFUNCTION("""COMPUTED_VALUE"""),47.99)</f>
        <v>47.99</v>
      </c>
      <c r="D91" s="1">
        <f>IFERROR(__xludf.DUMMYFUNCTION("""COMPUTED_VALUE"""),47.09)</f>
        <v>47.09</v>
      </c>
      <c r="E91" s="1">
        <f>IFERROR(__xludf.DUMMYFUNCTION("""COMPUTED_VALUE"""),47.97)</f>
        <v>47.97</v>
      </c>
      <c r="F91" s="1">
        <f>IFERROR(__xludf.DUMMYFUNCTION("""COMPUTED_VALUE"""),41758.0)</f>
        <v>41758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IFERROR(__xludf.DUMMYFUNCTION("""COMPUTED_VALUE"""),47.72)</f>
        <v>47.72</v>
      </c>
      <c r="C92" s="1">
        <f>IFERROR(__xludf.DUMMYFUNCTION("""COMPUTED_VALUE"""),48.45)</f>
        <v>48.45</v>
      </c>
      <c r="D92" s="1">
        <f>IFERROR(__xludf.DUMMYFUNCTION("""COMPUTED_VALUE"""),47.68)</f>
        <v>47.68</v>
      </c>
      <c r="E92" s="1">
        <f>IFERROR(__xludf.DUMMYFUNCTION("""COMPUTED_VALUE"""),48.11)</f>
        <v>48.11</v>
      </c>
      <c r="F92" s="1">
        <f>IFERROR(__xludf.DUMMYFUNCTION("""COMPUTED_VALUE"""),31968.0)</f>
        <v>31968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IFERROR(__xludf.DUMMYFUNCTION("""COMPUTED_VALUE"""),48.12)</f>
        <v>48.12</v>
      </c>
      <c r="C93" s="1">
        <f>IFERROR(__xludf.DUMMYFUNCTION("""COMPUTED_VALUE"""),48.34)</f>
        <v>48.34</v>
      </c>
      <c r="D93" s="1">
        <f>IFERROR(__xludf.DUMMYFUNCTION("""COMPUTED_VALUE"""),47.36)</f>
        <v>47.36</v>
      </c>
      <c r="E93" s="1">
        <f>IFERROR(__xludf.DUMMYFUNCTION("""COMPUTED_VALUE"""),47.96)</f>
        <v>47.96</v>
      </c>
      <c r="F93" s="1">
        <f>IFERROR(__xludf.DUMMYFUNCTION("""COMPUTED_VALUE"""),41576.0)</f>
        <v>41576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IFERROR(__xludf.DUMMYFUNCTION("""COMPUTED_VALUE"""),48.31)</f>
        <v>48.31</v>
      </c>
      <c r="C94" s="1">
        <f>IFERROR(__xludf.DUMMYFUNCTION("""COMPUTED_VALUE"""),48.51)</f>
        <v>48.51</v>
      </c>
      <c r="D94" s="1">
        <f>IFERROR(__xludf.DUMMYFUNCTION("""COMPUTED_VALUE"""),47.0)</f>
        <v>47</v>
      </c>
      <c r="E94" s="1">
        <f>IFERROR(__xludf.DUMMYFUNCTION("""COMPUTED_VALUE"""),47.84)</f>
        <v>47.84</v>
      </c>
      <c r="F94" s="1">
        <f>IFERROR(__xludf.DUMMYFUNCTION("""COMPUTED_VALUE"""),49081.0)</f>
        <v>49081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IFERROR(__xludf.DUMMYFUNCTION("""COMPUTED_VALUE"""),48.02)</f>
        <v>48.02</v>
      </c>
      <c r="C95" s="1">
        <f>IFERROR(__xludf.DUMMYFUNCTION("""COMPUTED_VALUE"""),48.46)</f>
        <v>48.46</v>
      </c>
      <c r="D95" s="1">
        <f>IFERROR(__xludf.DUMMYFUNCTION("""COMPUTED_VALUE"""),47.45)</f>
        <v>47.45</v>
      </c>
      <c r="E95" s="1">
        <f>IFERROR(__xludf.DUMMYFUNCTION("""COMPUTED_VALUE"""),47.67)</f>
        <v>47.67</v>
      </c>
      <c r="F95" s="1">
        <f>IFERROR(__xludf.DUMMYFUNCTION("""COMPUTED_VALUE"""),30653.0)</f>
        <v>30653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IFERROR(__xludf.DUMMYFUNCTION("""COMPUTED_VALUE"""),47.9)</f>
        <v>47.9</v>
      </c>
      <c r="C96" s="1">
        <f>IFERROR(__xludf.DUMMYFUNCTION("""COMPUTED_VALUE"""),48.04)</f>
        <v>48.04</v>
      </c>
      <c r="D96" s="1">
        <f>IFERROR(__xludf.DUMMYFUNCTION("""COMPUTED_VALUE"""),46.88)</f>
        <v>46.88</v>
      </c>
      <c r="E96" s="1">
        <f>IFERROR(__xludf.DUMMYFUNCTION("""COMPUTED_VALUE"""),47.13)</f>
        <v>47.13</v>
      </c>
      <c r="F96" s="1">
        <f>IFERROR(__xludf.DUMMYFUNCTION("""COMPUTED_VALUE"""),51354.0)</f>
        <v>51354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IFERROR(__xludf.DUMMYFUNCTION("""COMPUTED_VALUE"""),47.05)</f>
        <v>47.05</v>
      </c>
      <c r="C97" s="1">
        <f>IFERROR(__xludf.DUMMYFUNCTION("""COMPUTED_VALUE"""),47.27)</f>
        <v>47.27</v>
      </c>
      <c r="D97" s="1">
        <f>IFERROR(__xludf.DUMMYFUNCTION("""COMPUTED_VALUE"""),46.0)</f>
        <v>46</v>
      </c>
      <c r="E97" s="1">
        <f>IFERROR(__xludf.DUMMYFUNCTION("""COMPUTED_VALUE"""),46.03)</f>
        <v>46.03</v>
      </c>
      <c r="F97" s="1">
        <f>IFERROR(__xludf.DUMMYFUNCTION("""COMPUTED_VALUE"""),83720.0)</f>
        <v>83720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IFERROR(__xludf.DUMMYFUNCTION("""COMPUTED_VALUE"""),46.17)</f>
        <v>46.17</v>
      </c>
      <c r="C98" s="1">
        <f>IFERROR(__xludf.DUMMYFUNCTION("""COMPUTED_VALUE"""),46.96)</f>
        <v>46.96</v>
      </c>
      <c r="D98" s="1">
        <f>IFERROR(__xludf.DUMMYFUNCTION("""COMPUTED_VALUE"""),45.48)</f>
        <v>45.48</v>
      </c>
      <c r="E98" s="1">
        <f>IFERROR(__xludf.DUMMYFUNCTION("""COMPUTED_VALUE"""),46.85)</f>
        <v>46.85</v>
      </c>
      <c r="F98" s="1">
        <f>IFERROR(__xludf.DUMMYFUNCTION("""COMPUTED_VALUE"""),139962.0)</f>
        <v>139962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IFERROR(__xludf.DUMMYFUNCTION("""COMPUTED_VALUE"""),46.37)</f>
        <v>46.37</v>
      </c>
      <c r="C99" s="1">
        <f>IFERROR(__xludf.DUMMYFUNCTION("""COMPUTED_VALUE"""),46.98)</f>
        <v>46.98</v>
      </c>
      <c r="D99" s="1">
        <f>IFERROR(__xludf.DUMMYFUNCTION("""COMPUTED_VALUE"""),46.01)</f>
        <v>46.01</v>
      </c>
      <c r="E99" s="1">
        <f>IFERROR(__xludf.DUMMYFUNCTION("""COMPUTED_VALUE"""),46.46)</f>
        <v>46.46</v>
      </c>
      <c r="F99" s="1">
        <f>IFERROR(__xludf.DUMMYFUNCTION("""COMPUTED_VALUE"""),41195.0)</f>
        <v>41195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IFERROR(__xludf.DUMMYFUNCTION("""COMPUTED_VALUE"""),46.01)</f>
        <v>46.01</v>
      </c>
      <c r="C100" s="1">
        <f>IFERROR(__xludf.DUMMYFUNCTION("""COMPUTED_VALUE"""),46.09)</f>
        <v>46.09</v>
      </c>
      <c r="D100" s="1">
        <f>IFERROR(__xludf.DUMMYFUNCTION("""COMPUTED_VALUE"""),45.07)</f>
        <v>45.07</v>
      </c>
      <c r="E100" s="1">
        <f>IFERROR(__xludf.DUMMYFUNCTION("""COMPUTED_VALUE"""),45.2)</f>
        <v>45.2</v>
      </c>
      <c r="F100" s="1">
        <f>IFERROR(__xludf.DUMMYFUNCTION("""COMPUTED_VALUE"""),54621.0)</f>
        <v>54621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IFERROR(__xludf.DUMMYFUNCTION("""COMPUTED_VALUE"""),45.32)</f>
        <v>45.32</v>
      </c>
      <c r="C101" s="1">
        <f>IFERROR(__xludf.DUMMYFUNCTION("""COMPUTED_VALUE"""),45.65)</f>
        <v>45.65</v>
      </c>
      <c r="D101" s="1">
        <f>IFERROR(__xludf.DUMMYFUNCTION("""COMPUTED_VALUE"""),44.68)</f>
        <v>44.68</v>
      </c>
      <c r="E101" s="1">
        <f>IFERROR(__xludf.DUMMYFUNCTION("""COMPUTED_VALUE"""),44.7)</f>
        <v>44.7</v>
      </c>
      <c r="F101" s="1">
        <f>IFERROR(__xludf.DUMMYFUNCTION("""COMPUTED_VALUE"""),209140.0)</f>
        <v>209140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IFERROR(__xludf.DUMMYFUNCTION("""COMPUTED_VALUE"""),45.18)</f>
        <v>45.18</v>
      </c>
      <c r="C102" s="1">
        <f>IFERROR(__xludf.DUMMYFUNCTION("""COMPUTED_VALUE"""),45.4)</f>
        <v>45.4</v>
      </c>
      <c r="D102" s="1">
        <f>IFERROR(__xludf.DUMMYFUNCTION("""COMPUTED_VALUE"""),44.88)</f>
        <v>44.88</v>
      </c>
      <c r="E102" s="1">
        <f>IFERROR(__xludf.DUMMYFUNCTION("""COMPUTED_VALUE"""),45.23)</f>
        <v>45.23</v>
      </c>
      <c r="F102" s="1">
        <f>IFERROR(__xludf.DUMMYFUNCTION("""COMPUTED_VALUE"""),56377.0)</f>
        <v>56377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IFERROR(__xludf.DUMMYFUNCTION("""COMPUTED_VALUE"""),45.22)</f>
        <v>45.22</v>
      </c>
      <c r="C103" s="1">
        <f>IFERROR(__xludf.DUMMYFUNCTION("""COMPUTED_VALUE"""),45.26)</f>
        <v>45.26</v>
      </c>
      <c r="D103" s="1">
        <f>IFERROR(__xludf.DUMMYFUNCTION("""COMPUTED_VALUE"""),44.43)</f>
        <v>44.43</v>
      </c>
      <c r="E103" s="1">
        <f>IFERROR(__xludf.DUMMYFUNCTION("""COMPUTED_VALUE"""),44.43)</f>
        <v>44.43</v>
      </c>
      <c r="F103" s="1">
        <f>IFERROR(__xludf.DUMMYFUNCTION("""COMPUTED_VALUE"""),104310.0)</f>
        <v>104310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IFERROR(__xludf.DUMMYFUNCTION("""COMPUTED_VALUE"""),44.2)</f>
        <v>44.2</v>
      </c>
      <c r="C104" s="1">
        <f>IFERROR(__xludf.DUMMYFUNCTION("""COMPUTED_VALUE"""),44.98)</f>
        <v>44.98</v>
      </c>
      <c r="D104" s="1">
        <f>IFERROR(__xludf.DUMMYFUNCTION("""COMPUTED_VALUE"""),44.02)</f>
        <v>44.02</v>
      </c>
      <c r="E104" s="1">
        <f>IFERROR(__xludf.DUMMYFUNCTION("""COMPUTED_VALUE"""),44.15)</f>
        <v>44.15</v>
      </c>
      <c r="F104" s="1">
        <f>IFERROR(__xludf.DUMMYFUNCTION("""COMPUTED_VALUE"""),61477.0)</f>
        <v>61477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IFERROR(__xludf.DUMMYFUNCTION("""COMPUTED_VALUE"""),44.45)</f>
        <v>44.45</v>
      </c>
      <c r="C105" s="1">
        <f>IFERROR(__xludf.DUMMYFUNCTION("""COMPUTED_VALUE"""),45.28)</f>
        <v>45.28</v>
      </c>
      <c r="D105" s="1">
        <f>IFERROR(__xludf.DUMMYFUNCTION("""COMPUTED_VALUE"""),43.88)</f>
        <v>43.88</v>
      </c>
      <c r="E105" s="1">
        <f>IFERROR(__xludf.DUMMYFUNCTION("""COMPUTED_VALUE"""),45.13)</f>
        <v>45.13</v>
      </c>
      <c r="F105" s="1">
        <f>IFERROR(__xludf.DUMMYFUNCTION("""COMPUTED_VALUE"""),59321.0)</f>
        <v>59321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IFERROR(__xludf.DUMMYFUNCTION("""COMPUTED_VALUE"""),45.44)</f>
        <v>45.44</v>
      </c>
      <c r="C106" s="1">
        <f>IFERROR(__xludf.DUMMYFUNCTION("""COMPUTED_VALUE"""),45.67)</f>
        <v>45.67</v>
      </c>
      <c r="D106" s="1">
        <f>IFERROR(__xludf.DUMMYFUNCTION("""COMPUTED_VALUE"""),44.68)</f>
        <v>44.68</v>
      </c>
      <c r="E106" s="1">
        <f>IFERROR(__xludf.DUMMYFUNCTION("""COMPUTED_VALUE"""),45.2)</f>
        <v>45.2</v>
      </c>
      <c r="F106" s="1">
        <f>IFERROR(__xludf.DUMMYFUNCTION("""COMPUTED_VALUE"""),39777.0)</f>
        <v>39777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IFERROR(__xludf.DUMMYFUNCTION("""COMPUTED_VALUE"""),43.91)</f>
        <v>43.91</v>
      </c>
      <c r="C107" s="1">
        <f>IFERROR(__xludf.DUMMYFUNCTION("""COMPUTED_VALUE"""),44.97)</f>
        <v>44.97</v>
      </c>
      <c r="D107" s="1">
        <f>IFERROR(__xludf.DUMMYFUNCTION("""COMPUTED_VALUE"""),43.36)</f>
        <v>43.36</v>
      </c>
      <c r="E107" s="1">
        <f>IFERROR(__xludf.DUMMYFUNCTION("""COMPUTED_VALUE"""),43.9)</f>
        <v>43.9</v>
      </c>
      <c r="F107" s="1">
        <f>IFERROR(__xludf.DUMMYFUNCTION("""COMPUTED_VALUE"""),67425.0)</f>
        <v>67425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IFERROR(__xludf.DUMMYFUNCTION("""COMPUTED_VALUE"""),44.13)</f>
        <v>44.13</v>
      </c>
      <c r="C108" s="1">
        <f>IFERROR(__xludf.DUMMYFUNCTION("""COMPUTED_VALUE"""),44.99)</f>
        <v>44.99</v>
      </c>
      <c r="D108" s="1">
        <f>IFERROR(__xludf.DUMMYFUNCTION("""COMPUTED_VALUE"""),43.38)</f>
        <v>43.38</v>
      </c>
      <c r="E108" s="1">
        <f>IFERROR(__xludf.DUMMYFUNCTION("""COMPUTED_VALUE"""),43.49)</f>
        <v>43.49</v>
      </c>
      <c r="F108" s="1">
        <f>IFERROR(__xludf.DUMMYFUNCTION("""COMPUTED_VALUE"""),46470.0)</f>
        <v>46470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IFERROR(__xludf.DUMMYFUNCTION("""COMPUTED_VALUE"""),43.79)</f>
        <v>43.79</v>
      </c>
      <c r="C109" s="1">
        <f>IFERROR(__xludf.DUMMYFUNCTION("""COMPUTED_VALUE"""),43.86)</f>
        <v>43.86</v>
      </c>
      <c r="D109" s="1">
        <f>IFERROR(__xludf.DUMMYFUNCTION("""COMPUTED_VALUE"""),43.03)</f>
        <v>43.03</v>
      </c>
      <c r="E109" s="1">
        <f>IFERROR(__xludf.DUMMYFUNCTION("""COMPUTED_VALUE"""),43.56)</f>
        <v>43.56</v>
      </c>
      <c r="F109" s="1">
        <f>IFERROR(__xludf.DUMMYFUNCTION("""COMPUTED_VALUE"""),26294.0)</f>
        <v>26294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IFERROR(__xludf.DUMMYFUNCTION("""COMPUTED_VALUE"""),43.89)</f>
        <v>43.89</v>
      </c>
      <c r="C110" s="1">
        <f>IFERROR(__xludf.DUMMYFUNCTION("""COMPUTED_VALUE"""),44.7)</f>
        <v>44.7</v>
      </c>
      <c r="D110" s="1">
        <f>IFERROR(__xludf.DUMMYFUNCTION("""COMPUTED_VALUE"""),43.32)</f>
        <v>43.32</v>
      </c>
      <c r="E110" s="1">
        <f>IFERROR(__xludf.DUMMYFUNCTION("""COMPUTED_VALUE"""),43.53)</f>
        <v>43.53</v>
      </c>
      <c r="F110" s="1">
        <f>IFERROR(__xludf.DUMMYFUNCTION("""COMPUTED_VALUE"""),28415.0)</f>
        <v>28415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IFERROR(__xludf.DUMMYFUNCTION("""COMPUTED_VALUE"""),44.15)</f>
        <v>44.15</v>
      </c>
      <c r="C111" s="1">
        <f>IFERROR(__xludf.DUMMYFUNCTION("""COMPUTED_VALUE"""),44.68)</f>
        <v>44.68</v>
      </c>
      <c r="D111" s="1">
        <f>IFERROR(__xludf.DUMMYFUNCTION("""COMPUTED_VALUE"""),43.71)</f>
        <v>43.71</v>
      </c>
      <c r="E111" s="1">
        <f>IFERROR(__xludf.DUMMYFUNCTION("""COMPUTED_VALUE"""),44.39)</f>
        <v>44.39</v>
      </c>
      <c r="F111" s="1">
        <f>IFERROR(__xludf.DUMMYFUNCTION("""COMPUTED_VALUE"""),36954.0)</f>
        <v>36954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IFERROR(__xludf.DUMMYFUNCTION("""COMPUTED_VALUE"""),43.93)</f>
        <v>43.93</v>
      </c>
      <c r="C112" s="1">
        <f>IFERROR(__xludf.DUMMYFUNCTION("""COMPUTED_VALUE"""),44.25)</f>
        <v>44.25</v>
      </c>
      <c r="D112" s="1">
        <f>IFERROR(__xludf.DUMMYFUNCTION("""COMPUTED_VALUE"""),43.64)</f>
        <v>43.64</v>
      </c>
      <c r="E112" s="1">
        <f>IFERROR(__xludf.DUMMYFUNCTION("""COMPUTED_VALUE"""),44.05)</f>
        <v>44.05</v>
      </c>
      <c r="F112" s="1">
        <f>IFERROR(__xludf.DUMMYFUNCTION("""COMPUTED_VALUE"""),42342.0)</f>
        <v>42342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IFERROR(__xludf.DUMMYFUNCTION("""COMPUTED_VALUE"""),44.38)</f>
        <v>44.38</v>
      </c>
      <c r="C113" s="1">
        <f>IFERROR(__xludf.DUMMYFUNCTION("""COMPUTED_VALUE"""),44.75)</f>
        <v>44.75</v>
      </c>
      <c r="D113" s="1">
        <f>IFERROR(__xludf.DUMMYFUNCTION("""COMPUTED_VALUE"""),43.69)</f>
        <v>43.69</v>
      </c>
      <c r="E113" s="1">
        <f>IFERROR(__xludf.DUMMYFUNCTION("""COMPUTED_VALUE"""),44.05)</f>
        <v>44.05</v>
      </c>
      <c r="F113" s="1">
        <f>IFERROR(__xludf.DUMMYFUNCTION("""COMPUTED_VALUE"""),30679.0)</f>
        <v>30679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IFERROR(__xludf.DUMMYFUNCTION("""COMPUTED_VALUE"""),44.44)</f>
        <v>44.44</v>
      </c>
      <c r="C114" s="1">
        <f>IFERROR(__xludf.DUMMYFUNCTION("""COMPUTED_VALUE"""),44.93)</f>
        <v>44.93</v>
      </c>
      <c r="D114" s="1">
        <f>IFERROR(__xludf.DUMMYFUNCTION("""COMPUTED_VALUE"""),44.24)</f>
        <v>44.24</v>
      </c>
      <c r="E114" s="1">
        <f>IFERROR(__xludf.DUMMYFUNCTION("""COMPUTED_VALUE"""),44.75)</f>
        <v>44.75</v>
      </c>
      <c r="F114" s="1">
        <f>IFERROR(__xludf.DUMMYFUNCTION("""COMPUTED_VALUE"""),40484.0)</f>
        <v>40484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IFERROR(__xludf.DUMMYFUNCTION("""COMPUTED_VALUE"""),44.44)</f>
        <v>44.44</v>
      </c>
      <c r="C115" s="1">
        <f>IFERROR(__xludf.DUMMYFUNCTION("""COMPUTED_VALUE"""),44.94)</f>
        <v>44.94</v>
      </c>
      <c r="D115" s="1">
        <f>IFERROR(__xludf.DUMMYFUNCTION("""COMPUTED_VALUE"""),44.11)</f>
        <v>44.11</v>
      </c>
      <c r="E115" s="1">
        <f>IFERROR(__xludf.DUMMYFUNCTION("""COMPUTED_VALUE"""),44.48)</f>
        <v>44.48</v>
      </c>
      <c r="F115" s="1">
        <f>IFERROR(__xludf.DUMMYFUNCTION("""COMPUTED_VALUE"""),17764.0)</f>
        <v>17764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IFERROR(__xludf.DUMMYFUNCTION("""COMPUTED_VALUE"""),44.7)</f>
        <v>44.7</v>
      </c>
      <c r="C116" s="1">
        <f>IFERROR(__xludf.DUMMYFUNCTION("""COMPUTED_VALUE"""),44.73)</f>
        <v>44.73</v>
      </c>
      <c r="D116" s="1">
        <f>IFERROR(__xludf.DUMMYFUNCTION("""COMPUTED_VALUE"""),44.03)</f>
        <v>44.03</v>
      </c>
      <c r="E116" s="1">
        <f>IFERROR(__xludf.DUMMYFUNCTION("""COMPUTED_VALUE"""),44.28)</f>
        <v>44.28</v>
      </c>
      <c r="F116" s="1">
        <f>IFERROR(__xludf.DUMMYFUNCTION("""COMPUTED_VALUE"""),25898.0)</f>
        <v>25898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IFERROR(__xludf.DUMMYFUNCTION("""COMPUTED_VALUE"""),44.55)</f>
        <v>44.55</v>
      </c>
      <c r="C117" s="1">
        <f>IFERROR(__xludf.DUMMYFUNCTION("""COMPUTED_VALUE"""),44.73)</f>
        <v>44.73</v>
      </c>
      <c r="D117" s="1">
        <f>IFERROR(__xludf.DUMMYFUNCTION("""COMPUTED_VALUE"""),43.97)</f>
        <v>43.97</v>
      </c>
      <c r="E117" s="1">
        <f>IFERROR(__xludf.DUMMYFUNCTION("""COMPUTED_VALUE"""),43.97)</f>
        <v>43.97</v>
      </c>
      <c r="F117" s="1">
        <f>IFERROR(__xludf.DUMMYFUNCTION("""COMPUTED_VALUE"""),78809.0)</f>
        <v>78809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IFERROR(__xludf.DUMMYFUNCTION("""COMPUTED_VALUE"""),44.45)</f>
        <v>44.45</v>
      </c>
      <c r="C118" s="1">
        <f>IFERROR(__xludf.DUMMYFUNCTION("""COMPUTED_VALUE"""),44.45)</f>
        <v>44.45</v>
      </c>
      <c r="D118" s="1">
        <f>IFERROR(__xludf.DUMMYFUNCTION("""COMPUTED_VALUE"""),43.68)</f>
        <v>43.68</v>
      </c>
      <c r="E118" s="1">
        <f>IFERROR(__xludf.DUMMYFUNCTION("""COMPUTED_VALUE"""),44.0)</f>
        <v>44</v>
      </c>
      <c r="F118" s="1">
        <f>IFERROR(__xludf.DUMMYFUNCTION("""COMPUTED_VALUE"""),61033.0)</f>
        <v>61033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IFERROR(__xludf.DUMMYFUNCTION("""COMPUTED_VALUE"""),44.27)</f>
        <v>44.27</v>
      </c>
      <c r="C119" s="1">
        <f>IFERROR(__xludf.DUMMYFUNCTION("""COMPUTED_VALUE"""),44.65)</f>
        <v>44.65</v>
      </c>
      <c r="D119" s="1">
        <f>IFERROR(__xludf.DUMMYFUNCTION("""COMPUTED_VALUE"""),43.9)</f>
        <v>43.9</v>
      </c>
      <c r="E119" s="1">
        <f>IFERROR(__xludf.DUMMYFUNCTION("""COMPUTED_VALUE"""),44.0)</f>
        <v>44</v>
      </c>
      <c r="F119" s="1">
        <f>IFERROR(__xludf.DUMMYFUNCTION("""COMPUTED_VALUE"""),29127.0)</f>
        <v>29127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IFERROR(__xludf.DUMMYFUNCTION("""COMPUTED_VALUE"""),44.0)</f>
        <v>44</v>
      </c>
      <c r="C120" s="1">
        <f>IFERROR(__xludf.DUMMYFUNCTION("""COMPUTED_VALUE"""),44.75)</f>
        <v>44.75</v>
      </c>
      <c r="D120" s="1">
        <f>IFERROR(__xludf.DUMMYFUNCTION("""COMPUTED_VALUE"""),43.75)</f>
        <v>43.75</v>
      </c>
      <c r="E120" s="1">
        <f>IFERROR(__xludf.DUMMYFUNCTION("""COMPUTED_VALUE"""),44.4)</f>
        <v>44.4</v>
      </c>
      <c r="F120" s="1">
        <f>IFERROR(__xludf.DUMMYFUNCTION("""COMPUTED_VALUE"""),34383.0)</f>
        <v>34383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IFERROR(__xludf.DUMMYFUNCTION("""COMPUTED_VALUE"""),44.06)</f>
        <v>44.06</v>
      </c>
      <c r="C121" s="1">
        <f>IFERROR(__xludf.DUMMYFUNCTION("""COMPUTED_VALUE"""),44.77)</f>
        <v>44.77</v>
      </c>
      <c r="D121" s="1">
        <f>IFERROR(__xludf.DUMMYFUNCTION("""COMPUTED_VALUE"""),44.06)</f>
        <v>44.06</v>
      </c>
      <c r="E121" s="1">
        <f>IFERROR(__xludf.DUMMYFUNCTION("""COMPUTED_VALUE"""),44.56)</f>
        <v>44.56</v>
      </c>
      <c r="F121" s="1">
        <f>IFERROR(__xludf.DUMMYFUNCTION("""COMPUTED_VALUE"""),37237.0)</f>
        <v>37237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IFERROR(__xludf.DUMMYFUNCTION("""COMPUTED_VALUE"""),44.77)</f>
        <v>44.77</v>
      </c>
      <c r="C122" s="1">
        <f>IFERROR(__xludf.DUMMYFUNCTION("""COMPUTED_VALUE"""),45.34)</f>
        <v>45.34</v>
      </c>
      <c r="D122" s="1">
        <f>IFERROR(__xludf.DUMMYFUNCTION("""COMPUTED_VALUE"""),44.39)</f>
        <v>44.39</v>
      </c>
      <c r="E122" s="1">
        <f>IFERROR(__xludf.DUMMYFUNCTION("""COMPUTED_VALUE"""),44.86)</f>
        <v>44.86</v>
      </c>
      <c r="F122" s="1">
        <f>IFERROR(__xludf.DUMMYFUNCTION("""COMPUTED_VALUE"""),133985.0)</f>
        <v>133985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IFERROR(__xludf.DUMMYFUNCTION("""COMPUTED_VALUE"""),44.74)</f>
        <v>44.74</v>
      </c>
      <c r="C123" s="1">
        <f>IFERROR(__xludf.DUMMYFUNCTION("""COMPUTED_VALUE"""),45.02)</f>
        <v>45.02</v>
      </c>
      <c r="D123" s="1">
        <f>IFERROR(__xludf.DUMMYFUNCTION("""COMPUTED_VALUE"""),44.19)</f>
        <v>44.19</v>
      </c>
      <c r="E123" s="1">
        <f>IFERROR(__xludf.DUMMYFUNCTION("""COMPUTED_VALUE"""),44.43)</f>
        <v>44.43</v>
      </c>
      <c r="F123" s="1">
        <f>IFERROR(__xludf.DUMMYFUNCTION("""COMPUTED_VALUE"""),43792.0)</f>
        <v>43792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IFERROR(__xludf.DUMMYFUNCTION("""COMPUTED_VALUE"""),44.0)</f>
        <v>44</v>
      </c>
      <c r="C124" s="1">
        <f>IFERROR(__xludf.DUMMYFUNCTION("""COMPUTED_VALUE"""),44.21)</f>
        <v>44.21</v>
      </c>
      <c r="D124" s="1">
        <f>IFERROR(__xludf.DUMMYFUNCTION("""COMPUTED_VALUE"""),43.15)</f>
        <v>43.15</v>
      </c>
      <c r="E124" s="1">
        <f>IFERROR(__xludf.DUMMYFUNCTION("""COMPUTED_VALUE"""),43.37)</f>
        <v>43.37</v>
      </c>
      <c r="F124" s="1">
        <f>IFERROR(__xludf.DUMMYFUNCTION("""COMPUTED_VALUE"""),73932.0)</f>
        <v>73932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IFERROR(__xludf.DUMMYFUNCTION("""COMPUTED_VALUE"""),43.51)</f>
        <v>43.51</v>
      </c>
      <c r="C125" s="1">
        <f>IFERROR(__xludf.DUMMYFUNCTION("""COMPUTED_VALUE"""),43.59)</f>
        <v>43.59</v>
      </c>
      <c r="D125" s="1">
        <f>IFERROR(__xludf.DUMMYFUNCTION("""COMPUTED_VALUE"""),42.07)</f>
        <v>42.07</v>
      </c>
      <c r="E125" s="1">
        <f>IFERROR(__xludf.DUMMYFUNCTION("""COMPUTED_VALUE"""),42.1)</f>
        <v>42.1</v>
      </c>
      <c r="F125" s="1">
        <f>IFERROR(__xludf.DUMMYFUNCTION("""COMPUTED_VALUE"""),51304.0)</f>
        <v>51304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IFERROR(__xludf.DUMMYFUNCTION("""COMPUTED_VALUE"""),42.34)</f>
        <v>42.34</v>
      </c>
      <c r="C126" s="1">
        <f>IFERROR(__xludf.DUMMYFUNCTION("""COMPUTED_VALUE"""),43.03)</f>
        <v>43.03</v>
      </c>
      <c r="D126" s="1">
        <f>IFERROR(__xludf.DUMMYFUNCTION("""COMPUTED_VALUE"""),41.54)</f>
        <v>41.54</v>
      </c>
      <c r="E126" s="1">
        <f>IFERROR(__xludf.DUMMYFUNCTION("""COMPUTED_VALUE"""),42.93)</f>
        <v>42.93</v>
      </c>
      <c r="F126" s="1">
        <f>IFERROR(__xludf.DUMMYFUNCTION("""COMPUTED_VALUE"""),56884.0)</f>
        <v>56884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IFERROR(__xludf.DUMMYFUNCTION("""COMPUTED_VALUE"""),43.27)</f>
        <v>43.27</v>
      </c>
      <c r="C127" s="1">
        <f>IFERROR(__xludf.DUMMYFUNCTION("""COMPUTED_VALUE"""),43.27)</f>
        <v>43.27</v>
      </c>
      <c r="D127" s="1">
        <f>IFERROR(__xludf.DUMMYFUNCTION("""COMPUTED_VALUE"""),41.51)</f>
        <v>41.51</v>
      </c>
      <c r="E127" s="1">
        <f>IFERROR(__xludf.DUMMYFUNCTION("""COMPUTED_VALUE"""),42.68)</f>
        <v>42.68</v>
      </c>
      <c r="F127" s="1">
        <f>IFERROR(__xludf.DUMMYFUNCTION("""COMPUTED_VALUE"""),25895.0)</f>
        <v>25895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IFERROR(__xludf.DUMMYFUNCTION("""COMPUTED_VALUE"""),43.02)</f>
        <v>43.02</v>
      </c>
      <c r="C128" s="1">
        <f>IFERROR(__xludf.DUMMYFUNCTION("""COMPUTED_VALUE"""),43.68)</f>
        <v>43.68</v>
      </c>
      <c r="D128" s="1">
        <f>IFERROR(__xludf.DUMMYFUNCTION("""COMPUTED_VALUE"""),42.36)</f>
        <v>42.36</v>
      </c>
      <c r="E128" s="1">
        <f>IFERROR(__xludf.DUMMYFUNCTION("""COMPUTED_VALUE"""),42.48)</f>
        <v>42.48</v>
      </c>
      <c r="F128" s="1">
        <f>IFERROR(__xludf.DUMMYFUNCTION("""COMPUTED_VALUE"""),45601.0)</f>
        <v>45601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IFERROR(__xludf.DUMMYFUNCTION("""COMPUTED_VALUE"""),42.75)</f>
        <v>42.75</v>
      </c>
      <c r="C129" s="1">
        <f>IFERROR(__xludf.DUMMYFUNCTION("""COMPUTED_VALUE"""),43.41)</f>
        <v>43.41</v>
      </c>
      <c r="D129" s="1">
        <f>IFERROR(__xludf.DUMMYFUNCTION("""COMPUTED_VALUE"""),42.61)</f>
        <v>42.61</v>
      </c>
      <c r="E129" s="1">
        <f>IFERROR(__xludf.DUMMYFUNCTION("""COMPUTED_VALUE"""),43.31)</f>
        <v>43.31</v>
      </c>
      <c r="F129" s="1">
        <f>IFERROR(__xludf.DUMMYFUNCTION("""COMPUTED_VALUE"""),31290.0)</f>
        <v>31290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IFERROR(__xludf.DUMMYFUNCTION("""COMPUTED_VALUE"""),43.71)</f>
        <v>43.71</v>
      </c>
      <c r="C130" s="1">
        <f>IFERROR(__xludf.DUMMYFUNCTION("""COMPUTED_VALUE"""),44.17)</f>
        <v>44.17</v>
      </c>
      <c r="D130" s="1">
        <f>IFERROR(__xludf.DUMMYFUNCTION("""COMPUTED_VALUE"""),43.48)</f>
        <v>43.48</v>
      </c>
      <c r="E130" s="1">
        <f>IFERROR(__xludf.DUMMYFUNCTION("""COMPUTED_VALUE"""),44.17)</f>
        <v>44.17</v>
      </c>
      <c r="F130" s="1">
        <f>IFERROR(__xludf.DUMMYFUNCTION("""COMPUTED_VALUE"""),36696.0)</f>
        <v>36696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IFERROR(__xludf.DUMMYFUNCTION("""COMPUTED_VALUE"""),44.0)</f>
        <v>44</v>
      </c>
      <c r="C131" s="1">
        <f>IFERROR(__xludf.DUMMYFUNCTION("""COMPUTED_VALUE"""),44.34)</f>
        <v>44.34</v>
      </c>
      <c r="D131" s="1">
        <f>IFERROR(__xludf.DUMMYFUNCTION("""COMPUTED_VALUE"""),43.83)</f>
        <v>43.83</v>
      </c>
      <c r="E131" s="1">
        <f>IFERROR(__xludf.DUMMYFUNCTION("""COMPUTED_VALUE"""),44.27)</f>
        <v>44.27</v>
      </c>
      <c r="F131" s="1">
        <f>IFERROR(__xludf.DUMMYFUNCTION("""COMPUTED_VALUE"""),25299.0)</f>
        <v>25299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IFERROR(__xludf.DUMMYFUNCTION("""COMPUTED_VALUE"""),44.12)</f>
        <v>44.12</v>
      </c>
      <c r="C132" s="1">
        <f>IFERROR(__xludf.DUMMYFUNCTION("""COMPUTED_VALUE"""),44.19)</f>
        <v>44.19</v>
      </c>
      <c r="D132" s="1">
        <f>IFERROR(__xludf.DUMMYFUNCTION("""COMPUTED_VALUE"""),43.42)</f>
        <v>43.42</v>
      </c>
      <c r="E132" s="1">
        <f>IFERROR(__xludf.DUMMYFUNCTION("""COMPUTED_VALUE"""),43.48)</f>
        <v>43.48</v>
      </c>
      <c r="F132" s="1">
        <f>IFERROR(__xludf.DUMMYFUNCTION("""COMPUTED_VALUE"""),19812.0)</f>
        <v>19812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IFERROR(__xludf.DUMMYFUNCTION("""COMPUTED_VALUE"""),44.04)</f>
        <v>44.04</v>
      </c>
      <c r="C133" s="1">
        <f>IFERROR(__xludf.DUMMYFUNCTION("""COMPUTED_VALUE"""),45.0)</f>
        <v>45</v>
      </c>
      <c r="D133" s="1">
        <f>IFERROR(__xludf.DUMMYFUNCTION("""COMPUTED_VALUE"""),43.76)</f>
        <v>43.76</v>
      </c>
      <c r="E133" s="1">
        <f>IFERROR(__xludf.DUMMYFUNCTION("""COMPUTED_VALUE"""),44.86)</f>
        <v>44.86</v>
      </c>
      <c r="F133" s="1">
        <f>IFERROR(__xludf.DUMMYFUNCTION("""COMPUTED_VALUE"""),63068.0)</f>
        <v>63068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IFERROR(__xludf.DUMMYFUNCTION("""COMPUTED_VALUE"""),44.6)</f>
        <v>44.6</v>
      </c>
      <c r="C134" s="1">
        <f>IFERROR(__xludf.DUMMYFUNCTION("""COMPUTED_VALUE"""),45.22)</f>
        <v>45.22</v>
      </c>
      <c r="D134" s="1">
        <f>IFERROR(__xludf.DUMMYFUNCTION("""COMPUTED_VALUE"""),44.4)</f>
        <v>44.4</v>
      </c>
      <c r="E134" s="1">
        <f>IFERROR(__xludf.DUMMYFUNCTION("""COMPUTED_VALUE"""),44.98)</f>
        <v>44.98</v>
      </c>
      <c r="F134" s="1">
        <f>IFERROR(__xludf.DUMMYFUNCTION("""COMPUTED_VALUE"""),36290.0)</f>
        <v>36290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IFERROR(__xludf.DUMMYFUNCTION("""COMPUTED_VALUE"""),44.97)</f>
        <v>44.97</v>
      </c>
      <c r="C135" s="1">
        <f>IFERROR(__xludf.DUMMYFUNCTION("""COMPUTED_VALUE"""),44.97)</f>
        <v>44.97</v>
      </c>
      <c r="D135" s="1">
        <f>IFERROR(__xludf.DUMMYFUNCTION("""COMPUTED_VALUE"""),44.29)</f>
        <v>44.29</v>
      </c>
      <c r="E135" s="1">
        <f>IFERROR(__xludf.DUMMYFUNCTION("""COMPUTED_VALUE"""),44.54)</f>
        <v>44.54</v>
      </c>
      <c r="F135" s="1">
        <f>IFERROR(__xludf.DUMMYFUNCTION("""COMPUTED_VALUE"""),28375.0)</f>
        <v>28375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IFERROR(__xludf.DUMMYFUNCTION("""COMPUTED_VALUE"""),44.17)</f>
        <v>44.17</v>
      </c>
      <c r="C136" s="1">
        <f>IFERROR(__xludf.DUMMYFUNCTION("""COMPUTED_VALUE"""),44.17)</f>
        <v>44.17</v>
      </c>
      <c r="D136" s="1">
        <f>IFERROR(__xludf.DUMMYFUNCTION("""COMPUTED_VALUE"""),43.38)</f>
        <v>43.38</v>
      </c>
      <c r="E136" s="1">
        <f>IFERROR(__xludf.DUMMYFUNCTION("""COMPUTED_VALUE"""),43.52)</f>
        <v>43.52</v>
      </c>
      <c r="F136" s="1">
        <f>IFERROR(__xludf.DUMMYFUNCTION("""COMPUTED_VALUE"""),78350.0)</f>
        <v>78350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IFERROR(__xludf.DUMMYFUNCTION("""COMPUTED_VALUE"""),43.77)</f>
        <v>43.77</v>
      </c>
      <c r="C137" s="1">
        <f>IFERROR(__xludf.DUMMYFUNCTION("""COMPUTED_VALUE"""),43.87)</f>
        <v>43.87</v>
      </c>
      <c r="D137" s="1">
        <f>IFERROR(__xludf.DUMMYFUNCTION("""COMPUTED_VALUE"""),43.23)</f>
        <v>43.23</v>
      </c>
      <c r="E137" s="1">
        <f>IFERROR(__xludf.DUMMYFUNCTION("""COMPUTED_VALUE"""),43.42)</f>
        <v>43.42</v>
      </c>
      <c r="F137" s="1">
        <f>IFERROR(__xludf.DUMMYFUNCTION("""COMPUTED_VALUE"""),32592.0)</f>
        <v>32592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IFERROR(__xludf.DUMMYFUNCTION("""COMPUTED_VALUE"""),43.25)</f>
        <v>43.25</v>
      </c>
      <c r="C138" s="1">
        <f>IFERROR(__xludf.DUMMYFUNCTION("""COMPUTED_VALUE"""),43.79)</f>
        <v>43.79</v>
      </c>
      <c r="D138" s="1">
        <f>IFERROR(__xludf.DUMMYFUNCTION("""COMPUTED_VALUE"""),43.11)</f>
        <v>43.11</v>
      </c>
      <c r="E138" s="1">
        <f>IFERROR(__xludf.DUMMYFUNCTION("""COMPUTED_VALUE"""),43.52)</f>
        <v>43.52</v>
      </c>
      <c r="F138" s="1">
        <f>IFERROR(__xludf.DUMMYFUNCTION("""COMPUTED_VALUE"""),45164.0)</f>
        <v>45164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IFERROR(__xludf.DUMMYFUNCTION("""COMPUTED_VALUE"""),43.81)</f>
        <v>43.81</v>
      </c>
      <c r="C139" s="1">
        <f>IFERROR(__xludf.DUMMYFUNCTION("""COMPUTED_VALUE"""),43.89)</f>
        <v>43.89</v>
      </c>
      <c r="D139" s="1">
        <f>IFERROR(__xludf.DUMMYFUNCTION("""COMPUTED_VALUE"""),42.87)</f>
        <v>42.87</v>
      </c>
      <c r="E139" s="1">
        <f>IFERROR(__xludf.DUMMYFUNCTION("""COMPUTED_VALUE"""),42.88)</f>
        <v>42.88</v>
      </c>
      <c r="F139" s="1">
        <f>IFERROR(__xludf.DUMMYFUNCTION("""COMPUTED_VALUE"""),32689.0)</f>
        <v>32689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IFERROR(__xludf.DUMMYFUNCTION("""COMPUTED_VALUE"""),43.42)</f>
        <v>43.42</v>
      </c>
      <c r="C140" s="1">
        <f>IFERROR(__xludf.DUMMYFUNCTION("""COMPUTED_VALUE"""),43.75)</f>
        <v>43.75</v>
      </c>
      <c r="D140" s="1">
        <f>IFERROR(__xludf.DUMMYFUNCTION("""COMPUTED_VALUE"""),42.88)</f>
        <v>42.88</v>
      </c>
      <c r="E140" s="1">
        <f>IFERROR(__xludf.DUMMYFUNCTION("""COMPUTED_VALUE"""),43.0)</f>
        <v>43</v>
      </c>
      <c r="F140" s="1">
        <f>IFERROR(__xludf.DUMMYFUNCTION("""COMPUTED_VALUE"""),112700.0)</f>
        <v>112700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IFERROR(__xludf.DUMMYFUNCTION("""COMPUTED_VALUE"""),42.69)</f>
        <v>42.69</v>
      </c>
      <c r="C141" s="1">
        <f>IFERROR(__xludf.DUMMYFUNCTION("""COMPUTED_VALUE"""),42.78)</f>
        <v>42.78</v>
      </c>
      <c r="D141" s="1">
        <f>IFERROR(__xludf.DUMMYFUNCTION("""COMPUTED_VALUE"""),40.6)</f>
        <v>40.6</v>
      </c>
      <c r="E141" s="1">
        <f>IFERROR(__xludf.DUMMYFUNCTION("""COMPUTED_VALUE"""),42.69)</f>
        <v>42.69</v>
      </c>
      <c r="F141" s="1">
        <f>IFERROR(__xludf.DUMMYFUNCTION("""COMPUTED_VALUE"""),139513.0)</f>
        <v>139513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IFERROR(__xludf.DUMMYFUNCTION("""COMPUTED_VALUE"""),42.93)</f>
        <v>42.93</v>
      </c>
      <c r="C142" s="1">
        <f>IFERROR(__xludf.DUMMYFUNCTION("""COMPUTED_VALUE"""),42.93)</f>
        <v>42.93</v>
      </c>
      <c r="D142" s="1">
        <f>IFERROR(__xludf.DUMMYFUNCTION("""COMPUTED_VALUE"""),42.18)</f>
        <v>42.18</v>
      </c>
      <c r="E142" s="1">
        <f>IFERROR(__xludf.DUMMYFUNCTION("""COMPUTED_VALUE"""),42.86)</f>
        <v>42.86</v>
      </c>
      <c r="F142" s="1">
        <f>IFERROR(__xludf.DUMMYFUNCTION("""COMPUTED_VALUE"""),57099.0)</f>
        <v>57099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IFERROR(__xludf.DUMMYFUNCTION("""COMPUTED_VALUE"""),43.18)</f>
        <v>43.18</v>
      </c>
      <c r="C143" s="1">
        <f>IFERROR(__xludf.DUMMYFUNCTION("""COMPUTED_VALUE"""),43.37)</f>
        <v>43.37</v>
      </c>
      <c r="D143" s="1">
        <f>IFERROR(__xludf.DUMMYFUNCTION("""COMPUTED_VALUE"""),42.82)</f>
        <v>42.82</v>
      </c>
      <c r="E143" s="1">
        <f>IFERROR(__xludf.DUMMYFUNCTION("""COMPUTED_VALUE"""),42.93)</f>
        <v>42.93</v>
      </c>
      <c r="F143" s="1">
        <f>IFERROR(__xludf.DUMMYFUNCTION("""COMPUTED_VALUE"""),44590.0)</f>
        <v>44590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IFERROR(__xludf.DUMMYFUNCTION("""COMPUTED_VALUE"""),42.75)</f>
        <v>42.75</v>
      </c>
      <c r="C144" s="1">
        <f>IFERROR(__xludf.DUMMYFUNCTION("""COMPUTED_VALUE"""),42.75)</f>
        <v>42.75</v>
      </c>
      <c r="D144" s="1">
        <f>IFERROR(__xludf.DUMMYFUNCTION("""COMPUTED_VALUE"""),42.09)</f>
        <v>42.09</v>
      </c>
      <c r="E144" s="1">
        <f>IFERROR(__xludf.DUMMYFUNCTION("""COMPUTED_VALUE"""),42.13)</f>
        <v>42.13</v>
      </c>
      <c r="F144" s="1">
        <f>IFERROR(__xludf.DUMMYFUNCTION("""COMPUTED_VALUE"""),33368.0)</f>
        <v>33368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IFERROR(__xludf.DUMMYFUNCTION("""COMPUTED_VALUE"""),42.56)</f>
        <v>42.56</v>
      </c>
      <c r="C145" s="1">
        <f>IFERROR(__xludf.DUMMYFUNCTION("""COMPUTED_VALUE"""),42.56)</f>
        <v>42.56</v>
      </c>
      <c r="D145" s="1">
        <f>IFERROR(__xludf.DUMMYFUNCTION("""COMPUTED_VALUE"""),41.59)</f>
        <v>41.59</v>
      </c>
      <c r="E145" s="1">
        <f>IFERROR(__xludf.DUMMYFUNCTION("""COMPUTED_VALUE"""),42.16)</f>
        <v>42.16</v>
      </c>
      <c r="F145" s="1">
        <f>IFERROR(__xludf.DUMMYFUNCTION("""COMPUTED_VALUE"""),17573.0)</f>
        <v>17573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IFERROR(__xludf.DUMMYFUNCTION("""COMPUTED_VALUE"""),41.52)</f>
        <v>41.52</v>
      </c>
      <c r="C146" s="1">
        <f>IFERROR(__xludf.DUMMYFUNCTION("""COMPUTED_VALUE"""),42.12)</f>
        <v>42.12</v>
      </c>
      <c r="D146" s="1">
        <f>IFERROR(__xludf.DUMMYFUNCTION("""COMPUTED_VALUE"""),41.52)</f>
        <v>41.52</v>
      </c>
      <c r="E146" s="1">
        <f>IFERROR(__xludf.DUMMYFUNCTION("""COMPUTED_VALUE"""),41.71)</f>
        <v>41.71</v>
      </c>
      <c r="F146" s="1">
        <f>IFERROR(__xludf.DUMMYFUNCTION("""COMPUTED_VALUE"""),48007.0)</f>
        <v>48007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IFERROR(__xludf.DUMMYFUNCTION("""COMPUTED_VALUE"""),42.27)</f>
        <v>42.27</v>
      </c>
      <c r="C147" s="1">
        <f>IFERROR(__xludf.DUMMYFUNCTION("""COMPUTED_VALUE"""),42.72)</f>
        <v>42.72</v>
      </c>
      <c r="D147" s="1">
        <f>IFERROR(__xludf.DUMMYFUNCTION("""COMPUTED_VALUE"""),41.54)</f>
        <v>41.54</v>
      </c>
      <c r="E147" s="1">
        <f>IFERROR(__xludf.DUMMYFUNCTION("""COMPUTED_VALUE"""),41.78)</f>
        <v>41.78</v>
      </c>
      <c r="F147" s="1">
        <f>IFERROR(__xludf.DUMMYFUNCTION("""COMPUTED_VALUE"""),35474.0)</f>
        <v>35474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IFERROR(__xludf.DUMMYFUNCTION("""COMPUTED_VALUE"""),41.8)</f>
        <v>41.8</v>
      </c>
      <c r="C148" s="1">
        <f>IFERROR(__xludf.DUMMYFUNCTION("""COMPUTED_VALUE"""),42.73)</f>
        <v>42.73</v>
      </c>
      <c r="D148" s="1">
        <f>IFERROR(__xludf.DUMMYFUNCTION("""COMPUTED_VALUE"""),41.78)</f>
        <v>41.78</v>
      </c>
      <c r="E148" s="1">
        <f>IFERROR(__xludf.DUMMYFUNCTION("""COMPUTED_VALUE"""),41.79)</f>
        <v>41.79</v>
      </c>
      <c r="F148" s="1">
        <f>IFERROR(__xludf.DUMMYFUNCTION("""COMPUTED_VALUE"""),76483.0)</f>
        <v>76483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IFERROR(__xludf.DUMMYFUNCTION("""COMPUTED_VALUE"""),42.0)</f>
        <v>42</v>
      </c>
      <c r="C149" s="1">
        <f>IFERROR(__xludf.DUMMYFUNCTION("""COMPUTED_VALUE"""),42.88)</f>
        <v>42.88</v>
      </c>
      <c r="D149" s="1">
        <f>IFERROR(__xludf.DUMMYFUNCTION("""COMPUTED_VALUE"""),42.0)</f>
        <v>42</v>
      </c>
      <c r="E149" s="1">
        <f>IFERROR(__xludf.DUMMYFUNCTION("""COMPUTED_VALUE"""),42.47)</f>
        <v>42.47</v>
      </c>
      <c r="F149" s="1">
        <f>IFERROR(__xludf.DUMMYFUNCTION("""COMPUTED_VALUE"""),63457.0)</f>
        <v>63457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IFERROR(__xludf.DUMMYFUNCTION("""COMPUTED_VALUE"""),42.27)</f>
        <v>42.27</v>
      </c>
      <c r="C150" s="1">
        <f>IFERROR(__xludf.DUMMYFUNCTION("""COMPUTED_VALUE"""),42.71)</f>
        <v>42.71</v>
      </c>
      <c r="D150" s="1">
        <f>IFERROR(__xludf.DUMMYFUNCTION("""COMPUTED_VALUE"""),41.19)</f>
        <v>41.19</v>
      </c>
      <c r="E150" s="1">
        <f>IFERROR(__xludf.DUMMYFUNCTION("""COMPUTED_VALUE"""),41.25)</f>
        <v>41.25</v>
      </c>
      <c r="F150" s="1">
        <f>IFERROR(__xludf.DUMMYFUNCTION("""COMPUTED_VALUE"""),77185.0)</f>
        <v>77185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IFERROR(__xludf.DUMMYFUNCTION("""COMPUTED_VALUE"""),41.09)</f>
        <v>41.09</v>
      </c>
      <c r="C151" s="1">
        <f>IFERROR(__xludf.DUMMYFUNCTION("""COMPUTED_VALUE"""),41.47)</f>
        <v>41.47</v>
      </c>
      <c r="D151" s="1">
        <f>IFERROR(__xludf.DUMMYFUNCTION("""COMPUTED_VALUE"""),40.09)</f>
        <v>40.09</v>
      </c>
      <c r="E151" s="1">
        <f>IFERROR(__xludf.DUMMYFUNCTION("""COMPUTED_VALUE"""),40.13)</f>
        <v>40.13</v>
      </c>
      <c r="F151" s="1">
        <f>IFERROR(__xludf.DUMMYFUNCTION("""COMPUTED_VALUE"""),82952.0)</f>
        <v>82952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IFERROR(__xludf.DUMMYFUNCTION("""COMPUTED_VALUE"""),40.49)</f>
        <v>40.49</v>
      </c>
      <c r="C152" s="1">
        <f>IFERROR(__xludf.DUMMYFUNCTION("""COMPUTED_VALUE"""),40.59)</f>
        <v>40.59</v>
      </c>
      <c r="D152" s="1">
        <f>IFERROR(__xludf.DUMMYFUNCTION("""COMPUTED_VALUE"""),39.81)</f>
        <v>39.81</v>
      </c>
      <c r="E152" s="1">
        <f>IFERROR(__xludf.DUMMYFUNCTION("""COMPUTED_VALUE"""),40.46)</f>
        <v>40.46</v>
      </c>
      <c r="F152" s="1">
        <f>IFERROR(__xludf.DUMMYFUNCTION("""COMPUTED_VALUE"""),39036.0)</f>
        <v>39036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IFERROR(__xludf.DUMMYFUNCTION("""COMPUTED_VALUE"""),39.99)</f>
        <v>39.99</v>
      </c>
      <c r="C153" s="1">
        <f>IFERROR(__xludf.DUMMYFUNCTION("""COMPUTED_VALUE"""),40.78)</f>
        <v>40.78</v>
      </c>
      <c r="D153" s="1">
        <f>IFERROR(__xludf.DUMMYFUNCTION("""COMPUTED_VALUE"""),39.99)</f>
        <v>39.99</v>
      </c>
      <c r="E153" s="1">
        <f>IFERROR(__xludf.DUMMYFUNCTION("""COMPUTED_VALUE"""),40.39)</f>
        <v>40.39</v>
      </c>
      <c r="F153" s="1">
        <f>IFERROR(__xludf.DUMMYFUNCTION("""COMPUTED_VALUE"""),60153.0)</f>
        <v>60153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IFERROR(__xludf.DUMMYFUNCTION("""COMPUTED_VALUE"""),39.72)</f>
        <v>39.72</v>
      </c>
      <c r="C154" s="1">
        <f>IFERROR(__xludf.DUMMYFUNCTION("""COMPUTED_VALUE"""),40.36)</f>
        <v>40.36</v>
      </c>
      <c r="D154" s="1">
        <f>IFERROR(__xludf.DUMMYFUNCTION("""COMPUTED_VALUE"""),39.69)</f>
        <v>39.69</v>
      </c>
      <c r="E154" s="1">
        <f>IFERROR(__xludf.DUMMYFUNCTION("""COMPUTED_VALUE"""),39.79)</f>
        <v>39.79</v>
      </c>
      <c r="F154" s="1">
        <f>IFERROR(__xludf.DUMMYFUNCTION("""COMPUTED_VALUE"""),91775.0)</f>
        <v>91775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IFERROR(__xludf.DUMMYFUNCTION("""COMPUTED_VALUE"""),39.3)</f>
        <v>39.3</v>
      </c>
      <c r="C155" s="1">
        <f>IFERROR(__xludf.DUMMYFUNCTION("""COMPUTED_VALUE"""),39.6)</f>
        <v>39.6</v>
      </c>
      <c r="D155" s="1">
        <f>IFERROR(__xludf.DUMMYFUNCTION("""COMPUTED_VALUE"""),39.23)</f>
        <v>39.23</v>
      </c>
      <c r="E155" s="1">
        <f>IFERROR(__xludf.DUMMYFUNCTION("""COMPUTED_VALUE"""),39.39)</f>
        <v>39.39</v>
      </c>
      <c r="F155" s="1">
        <f>IFERROR(__xludf.DUMMYFUNCTION("""COMPUTED_VALUE"""),46345.0)</f>
        <v>46345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IFERROR(__xludf.DUMMYFUNCTION("""COMPUTED_VALUE"""),39.12)</f>
        <v>39.12</v>
      </c>
      <c r="C156" s="1">
        <f>IFERROR(__xludf.DUMMYFUNCTION("""COMPUTED_VALUE"""),39.47)</f>
        <v>39.47</v>
      </c>
      <c r="D156" s="1">
        <f>IFERROR(__xludf.DUMMYFUNCTION("""COMPUTED_VALUE"""),38.71)</f>
        <v>38.71</v>
      </c>
      <c r="E156" s="1">
        <f>IFERROR(__xludf.DUMMYFUNCTION("""COMPUTED_VALUE"""),38.8)</f>
        <v>38.8</v>
      </c>
      <c r="F156" s="1">
        <f>IFERROR(__xludf.DUMMYFUNCTION("""COMPUTED_VALUE"""),34541.0)</f>
        <v>34541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IFERROR(__xludf.DUMMYFUNCTION("""COMPUTED_VALUE"""),38.8)</f>
        <v>38.8</v>
      </c>
      <c r="C157" s="1">
        <f>IFERROR(__xludf.DUMMYFUNCTION("""COMPUTED_VALUE"""),39.39)</f>
        <v>39.39</v>
      </c>
      <c r="D157" s="1">
        <f>IFERROR(__xludf.DUMMYFUNCTION("""COMPUTED_VALUE"""),38.45)</f>
        <v>38.45</v>
      </c>
      <c r="E157" s="1">
        <f>IFERROR(__xludf.DUMMYFUNCTION("""COMPUTED_VALUE"""),38.88)</f>
        <v>38.88</v>
      </c>
      <c r="F157" s="1">
        <f>IFERROR(__xludf.DUMMYFUNCTION("""COMPUTED_VALUE"""),51687.0)</f>
        <v>51687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IFERROR(__xludf.DUMMYFUNCTION("""COMPUTED_VALUE"""),39.31)</f>
        <v>39.31</v>
      </c>
      <c r="C158" s="1">
        <f>IFERROR(__xludf.DUMMYFUNCTION("""COMPUTED_VALUE"""),39.54)</f>
        <v>39.54</v>
      </c>
      <c r="D158" s="1">
        <f>IFERROR(__xludf.DUMMYFUNCTION("""COMPUTED_VALUE"""),38.82)</f>
        <v>38.82</v>
      </c>
      <c r="E158" s="1">
        <f>IFERROR(__xludf.DUMMYFUNCTION("""COMPUTED_VALUE"""),39.13)</f>
        <v>39.13</v>
      </c>
      <c r="F158" s="1">
        <f>IFERROR(__xludf.DUMMYFUNCTION("""COMPUTED_VALUE"""),82976.0)</f>
        <v>82976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IFERROR(__xludf.DUMMYFUNCTION("""COMPUTED_VALUE"""),39.02)</f>
        <v>39.02</v>
      </c>
      <c r="C159" s="1">
        <f>IFERROR(__xludf.DUMMYFUNCTION("""COMPUTED_VALUE"""),39.02)</f>
        <v>39.02</v>
      </c>
      <c r="D159" s="1">
        <f>IFERROR(__xludf.DUMMYFUNCTION("""COMPUTED_VALUE"""),38.5)</f>
        <v>38.5</v>
      </c>
      <c r="E159" s="1">
        <f>IFERROR(__xludf.DUMMYFUNCTION("""COMPUTED_VALUE"""),38.51)</f>
        <v>38.51</v>
      </c>
      <c r="F159" s="1">
        <f>IFERROR(__xludf.DUMMYFUNCTION("""COMPUTED_VALUE"""),47254.0)</f>
        <v>47254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IFERROR(__xludf.DUMMYFUNCTION("""COMPUTED_VALUE"""),38.49)</f>
        <v>38.49</v>
      </c>
      <c r="C160" s="1">
        <f>IFERROR(__xludf.DUMMYFUNCTION("""COMPUTED_VALUE"""),38.49)</f>
        <v>38.49</v>
      </c>
      <c r="D160" s="1">
        <f>IFERROR(__xludf.DUMMYFUNCTION("""COMPUTED_VALUE"""),37.95)</f>
        <v>37.95</v>
      </c>
      <c r="E160" s="1">
        <f>IFERROR(__xludf.DUMMYFUNCTION("""COMPUTED_VALUE"""),38.2)</f>
        <v>38.2</v>
      </c>
      <c r="F160" s="1">
        <f>IFERROR(__xludf.DUMMYFUNCTION("""COMPUTED_VALUE"""),55872.0)</f>
        <v>55872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IFERROR(__xludf.DUMMYFUNCTION("""COMPUTED_VALUE"""),37.95)</f>
        <v>37.95</v>
      </c>
      <c r="C161" s="1">
        <f>IFERROR(__xludf.DUMMYFUNCTION("""COMPUTED_VALUE"""),38.2)</f>
        <v>38.2</v>
      </c>
      <c r="D161" s="1">
        <f>IFERROR(__xludf.DUMMYFUNCTION("""COMPUTED_VALUE"""),37.42)</f>
        <v>37.42</v>
      </c>
      <c r="E161" s="1">
        <f>IFERROR(__xludf.DUMMYFUNCTION("""COMPUTED_VALUE"""),37.78)</f>
        <v>37.78</v>
      </c>
      <c r="F161" s="1">
        <f>IFERROR(__xludf.DUMMYFUNCTION("""COMPUTED_VALUE"""),67228.0)</f>
        <v>67228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IFERROR(__xludf.DUMMYFUNCTION("""COMPUTED_VALUE"""),38.01)</f>
        <v>38.01</v>
      </c>
      <c r="C162" s="1">
        <f>IFERROR(__xludf.DUMMYFUNCTION("""COMPUTED_VALUE"""),38.34)</f>
        <v>38.34</v>
      </c>
      <c r="D162" s="1">
        <f>IFERROR(__xludf.DUMMYFUNCTION("""COMPUTED_VALUE"""),37.65)</f>
        <v>37.65</v>
      </c>
      <c r="E162" s="1">
        <f>IFERROR(__xludf.DUMMYFUNCTION("""COMPUTED_VALUE"""),37.71)</f>
        <v>37.71</v>
      </c>
      <c r="F162" s="1">
        <f>IFERROR(__xludf.DUMMYFUNCTION("""COMPUTED_VALUE"""),32012.0)</f>
        <v>32012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IFERROR(__xludf.DUMMYFUNCTION("""COMPUTED_VALUE"""),37.3)</f>
        <v>37.3</v>
      </c>
      <c r="C163" s="1">
        <f>IFERROR(__xludf.DUMMYFUNCTION("""COMPUTED_VALUE"""),37.79)</f>
        <v>37.79</v>
      </c>
      <c r="D163" s="1">
        <f>IFERROR(__xludf.DUMMYFUNCTION("""COMPUTED_VALUE"""),37.29)</f>
        <v>37.29</v>
      </c>
      <c r="E163" s="1">
        <f>IFERROR(__xludf.DUMMYFUNCTION("""COMPUTED_VALUE"""),37.3)</f>
        <v>37.3</v>
      </c>
      <c r="F163" s="1">
        <f>IFERROR(__xludf.DUMMYFUNCTION("""COMPUTED_VALUE"""),46875.0)</f>
        <v>46875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IFERROR(__xludf.DUMMYFUNCTION("""COMPUTED_VALUE"""),37.05)</f>
        <v>37.05</v>
      </c>
      <c r="C164" s="1">
        <f>IFERROR(__xludf.DUMMYFUNCTION("""COMPUTED_VALUE"""),37.97)</f>
        <v>37.97</v>
      </c>
      <c r="D164" s="1">
        <f>IFERROR(__xludf.DUMMYFUNCTION("""COMPUTED_VALUE"""),37.0)</f>
        <v>37</v>
      </c>
      <c r="E164" s="1">
        <f>IFERROR(__xludf.DUMMYFUNCTION("""COMPUTED_VALUE"""),37.9)</f>
        <v>37.9</v>
      </c>
      <c r="F164" s="1">
        <f>IFERROR(__xludf.DUMMYFUNCTION("""COMPUTED_VALUE"""),68893.0)</f>
        <v>68893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IFERROR(__xludf.DUMMYFUNCTION("""COMPUTED_VALUE"""),37.92)</f>
        <v>37.92</v>
      </c>
      <c r="C165" s="1">
        <f>IFERROR(__xludf.DUMMYFUNCTION("""COMPUTED_VALUE"""),38.08)</f>
        <v>38.08</v>
      </c>
      <c r="D165" s="1">
        <f>IFERROR(__xludf.DUMMYFUNCTION("""COMPUTED_VALUE"""),37.34)</f>
        <v>37.34</v>
      </c>
      <c r="E165" s="1">
        <f>IFERROR(__xludf.DUMMYFUNCTION("""COMPUTED_VALUE"""),37.66)</f>
        <v>37.66</v>
      </c>
      <c r="F165" s="1">
        <f>IFERROR(__xludf.DUMMYFUNCTION("""COMPUTED_VALUE"""),58790.0)</f>
        <v>58790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IFERROR(__xludf.DUMMYFUNCTION("""COMPUTED_VALUE"""),38.06)</f>
        <v>38.06</v>
      </c>
      <c r="C166" s="1">
        <f>IFERROR(__xludf.DUMMYFUNCTION("""COMPUTED_VALUE"""),38.06)</f>
        <v>38.06</v>
      </c>
      <c r="D166" s="1">
        <f>IFERROR(__xludf.DUMMYFUNCTION("""COMPUTED_VALUE"""),37.27)</f>
        <v>37.27</v>
      </c>
      <c r="E166" s="1">
        <f>IFERROR(__xludf.DUMMYFUNCTION("""COMPUTED_VALUE"""),37.96)</f>
        <v>37.96</v>
      </c>
      <c r="F166" s="1">
        <f>IFERROR(__xludf.DUMMYFUNCTION("""COMPUTED_VALUE"""),67698.0)</f>
        <v>67698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IFERROR(__xludf.DUMMYFUNCTION("""COMPUTED_VALUE"""),37.77)</f>
        <v>37.77</v>
      </c>
      <c r="C167" s="1">
        <f>IFERROR(__xludf.DUMMYFUNCTION("""COMPUTED_VALUE"""),38.17)</f>
        <v>38.17</v>
      </c>
      <c r="D167" s="1">
        <f>IFERROR(__xludf.DUMMYFUNCTION("""COMPUTED_VALUE"""),37.3)</f>
        <v>37.3</v>
      </c>
      <c r="E167" s="1">
        <f>IFERROR(__xludf.DUMMYFUNCTION("""COMPUTED_VALUE"""),37.3)</f>
        <v>37.3</v>
      </c>
      <c r="F167" s="1">
        <f>IFERROR(__xludf.DUMMYFUNCTION("""COMPUTED_VALUE"""),43172.0)</f>
        <v>43172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IFERROR(__xludf.DUMMYFUNCTION("""COMPUTED_VALUE"""),37.19)</f>
        <v>37.19</v>
      </c>
      <c r="C168" s="1">
        <f>IFERROR(__xludf.DUMMYFUNCTION("""COMPUTED_VALUE"""),38.03)</f>
        <v>38.03</v>
      </c>
      <c r="D168" s="1">
        <f>IFERROR(__xludf.DUMMYFUNCTION("""COMPUTED_VALUE"""),37.07)</f>
        <v>37.07</v>
      </c>
      <c r="E168" s="1">
        <f>IFERROR(__xludf.DUMMYFUNCTION("""COMPUTED_VALUE"""),37.75)</f>
        <v>37.75</v>
      </c>
      <c r="F168" s="1">
        <f>IFERROR(__xludf.DUMMYFUNCTION("""COMPUTED_VALUE"""),57035.0)</f>
        <v>57035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IFERROR(__xludf.DUMMYFUNCTION("""COMPUTED_VALUE"""),38.23)</f>
        <v>38.23</v>
      </c>
      <c r="C169" s="1">
        <f>IFERROR(__xludf.DUMMYFUNCTION("""COMPUTED_VALUE"""),38.35)</f>
        <v>38.35</v>
      </c>
      <c r="D169" s="1">
        <f>IFERROR(__xludf.DUMMYFUNCTION("""COMPUTED_VALUE"""),37.85)</f>
        <v>37.85</v>
      </c>
      <c r="E169" s="1">
        <f>IFERROR(__xludf.DUMMYFUNCTION("""COMPUTED_VALUE"""),38.3)</f>
        <v>38.3</v>
      </c>
      <c r="F169" s="1">
        <f>IFERROR(__xludf.DUMMYFUNCTION("""COMPUTED_VALUE"""),100061.0)</f>
        <v>100061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IFERROR(__xludf.DUMMYFUNCTION("""COMPUTED_VALUE"""),38.48)</f>
        <v>38.48</v>
      </c>
      <c r="C170" s="1">
        <f>IFERROR(__xludf.DUMMYFUNCTION("""COMPUTED_VALUE"""),38.48)</f>
        <v>38.48</v>
      </c>
      <c r="D170" s="1">
        <f>IFERROR(__xludf.DUMMYFUNCTION("""COMPUTED_VALUE"""),37.91)</f>
        <v>37.91</v>
      </c>
      <c r="E170" s="1">
        <f>IFERROR(__xludf.DUMMYFUNCTION("""COMPUTED_VALUE"""),38.21)</f>
        <v>38.21</v>
      </c>
      <c r="F170" s="1">
        <f>IFERROR(__xludf.DUMMYFUNCTION("""COMPUTED_VALUE"""),43547.0)</f>
        <v>43547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IFERROR(__xludf.DUMMYFUNCTION("""COMPUTED_VALUE"""),38.57)</f>
        <v>38.57</v>
      </c>
      <c r="C171" s="1">
        <f>IFERROR(__xludf.DUMMYFUNCTION("""COMPUTED_VALUE"""),38.74)</f>
        <v>38.74</v>
      </c>
      <c r="D171" s="1">
        <f>IFERROR(__xludf.DUMMYFUNCTION("""COMPUTED_VALUE"""),38.38)</f>
        <v>38.38</v>
      </c>
      <c r="E171" s="1">
        <f>IFERROR(__xludf.DUMMYFUNCTION("""COMPUTED_VALUE"""),38.64)</f>
        <v>38.64</v>
      </c>
      <c r="F171" s="1">
        <f>IFERROR(__xludf.DUMMYFUNCTION("""COMPUTED_VALUE"""),58976.0)</f>
        <v>58976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IFERROR(__xludf.DUMMYFUNCTION("""COMPUTED_VALUE"""),38.39)</f>
        <v>38.39</v>
      </c>
      <c r="C172" s="1">
        <f>IFERROR(__xludf.DUMMYFUNCTION("""COMPUTED_VALUE"""),38.55)</f>
        <v>38.55</v>
      </c>
      <c r="D172" s="1">
        <f>IFERROR(__xludf.DUMMYFUNCTION("""COMPUTED_VALUE"""),38.0)</f>
        <v>38</v>
      </c>
      <c r="E172" s="1">
        <f>IFERROR(__xludf.DUMMYFUNCTION("""COMPUTED_VALUE"""),38.09)</f>
        <v>38.09</v>
      </c>
      <c r="F172" s="1">
        <f>IFERROR(__xludf.DUMMYFUNCTION("""COMPUTED_VALUE"""),50163.0)</f>
        <v>50163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IFERROR(__xludf.DUMMYFUNCTION("""COMPUTED_VALUE"""),38.26)</f>
        <v>38.26</v>
      </c>
      <c r="C173" s="1">
        <f>IFERROR(__xludf.DUMMYFUNCTION("""COMPUTED_VALUE"""),38.64)</f>
        <v>38.64</v>
      </c>
      <c r="D173" s="1">
        <f>IFERROR(__xludf.DUMMYFUNCTION("""COMPUTED_VALUE"""),38.2)</f>
        <v>38.2</v>
      </c>
      <c r="E173" s="1">
        <f>IFERROR(__xludf.DUMMYFUNCTION("""COMPUTED_VALUE"""),38.54)</f>
        <v>38.54</v>
      </c>
      <c r="F173" s="1">
        <f>IFERROR(__xludf.DUMMYFUNCTION("""COMPUTED_VALUE"""),121683.0)</f>
        <v>121683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IFERROR(__xludf.DUMMYFUNCTION("""COMPUTED_VALUE"""),38.89)</f>
        <v>38.89</v>
      </c>
      <c r="C174" s="1">
        <f>IFERROR(__xludf.DUMMYFUNCTION("""COMPUTED_VALUE"""),38.98)</f>
        <v>38.98</v>
      </c>
      <c r="D174" s="1">
        <f>IFERROR(__xludf.DUMMYFUNCTION("""COMPUTED_VALUE"""),38.22)</f>
        <v>38.22</v>
      </c>
      <c r="E174" s="1">
        <f>IFERROR(__xludf.DUMMYFUNCTION("""COMPUTED_VALUE"""),38.61)</f>
        <v>38.61</v>
      </c>
      <c r="F174" s="1">
        <f>IFERROR(__xludf.DUMMYFUNCTION("""COMPUTED_VALUE"""),27303.0)</f>
        <v>27303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IFERROR(__xludf.DUMMYFUNCTION("""COMPUTED_VALUE"""),38.78)</f>
        <v>38.78</v>
      </c>
      <c r="C175" s="1">
        <f>IFERROR(__xludf.DUMMYFUNCTION("""COMPUTED_VALUE"""),39.24)</f>
        <v>39.24</v>
      </c>
      <c r="D175" s="1">
        <f>IFERROR(__xludf.DUMMYFUNCTION("""COMPUTED_VALUE"""),38.5)</f>
        <v>38.5</v>
      </c>
      <c r="E175" s="1">
        <f>IFERROR(__xludf.DUMMYFUNCTION("""COMPUTED_VALUE"""),38.82)</f>
        <v>38.82</v>
      </c>
      <c r="F175" s="1">
        <f>IFERROR(__xludf.DUMMYFUNCTION("""COMPUTED_VALUE"""),57907.0)</f>
        <v>57907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IFERROR(__xludf.DUMMYFUNCTION("""COMPUTED_VALUE"""),39.04)</f>
        <v>39.04</v>
      </c>
      <c r="C176" s="1">
        <f>IFERROR(__xludf.DUMMYFUNCTION("""COMPUTED_VALUE"""),39.14)</f>
        <v>39.14</v>
      </c>
      <c r="D176" s="1">
        <f>IFERROR(__xludf.DUMMYFUNCTION("""COMPUTED_VALUE"""),38.85)</f>
        <v>38.85</v>
      </c>
      <c r="E176" s="1">
        <f>IFERROR(__xludf.DUMMYFUNCTION("""COMPUTED_VALUE"""),39.02)</f>
        <v>39.02</v>
      </c>
      <c r="F176" s="1">
        <f>IFERROR(__xludf.DUMMYFUNCTION("""COMPUTED_VALUE"""),60005.0)</f>
        <v>60005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IFERROR(__xludf.DUMMYFUNCTION("""COMPUTED_VALUE"""),38.96)</f>
        <v>38.96</v>
      </c>
      <c r="C177" s="1">
        <f>IFERROR(__xludf.DUMMYFUNCTION("""COMPUTED_VALUE"""),39.28)</f>
        <v>39.28</v>
      </c>
      <c r="D177" s="1">
        <f>IFERROR(__xludf.DUMMYFUNCTION("""COMPUTED_VALUE"""),38.82)</f>
        <v>38.82</v>
      </c>
      <c r="E177" s="1">
        <f>IFERROR(__xludf.DUMMYFUNCTION("""COMPUTED_VALUE"""),38.98)</f>
        <v>38.98</v>
      </c>
      <c r="F177" s="1">
        <f>IFERROR(__xludf.DUMMYFUNCTION("""COMPUTED_VALUE"""),56313.0)</f>
        <v>56313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IFERROR(__xludf.DUMMYFUNCTION("""COMPUTED_VALUE"""),38.84)</f>
        <v>38.84</v>
      </c>
      <c r="C178" s="1">
        <f>IFERROR(__xludf.DUMMYFUNCTION("""COMPUTED_VALUE"""),39.47)</f>
        <v>39.47</v>
      </c>
      <c r="D178" s="1">
        <f>IFERROR(__xludf.DUMMYFUNCTION("""COMPUTED_VALUE"""),38.84)</f>
        <v>38.84</v>
      </c>
      <c r="E178" s="1">
        <f>IFERROR(__xludf.DUMMYFUNCTION("""COMPUTED_VALUE"""),39.35)</f>
        <v>39.35</v>
      </c>
      <c r="F178" s="1">
        <f>IFERROR(__xludf.DUMMYFUNCTION("""COMPUTED_VALUE"""),22914.0)</f>
        <v>22914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IFERROR(__xludf.DUMMYFUNCTION("""COMPUTED_VALUE"""),39.21)</f>
        <v>39.21</v>
      </c>
      <c r="C179" s="1">
        <f>IFERROR(__xludf.DUMMYFUNCTION("""COMPUTED_VALUE"""),39.62)</f>
        <v>39.62</v>
      </c>
      <c r="D179" s="1">
        <f>IFERROR(__xludf.DUMMYFUNCTION("""COMPUTED_VALUE"""),39.21)</f>
        <v>39.21</v>
      </c>
      <c r="E179" s="1">
        <f>IFERROR(__xludf.DUMMYFUNCTION("""COMPUTED_VALUE"""),39.62)</f>
        <v>39.62</v>
      </c>
      <c r="F179" s="1">
        <f>IFERROR(__xludf.DUMMYFUNCTION("""COMPUTED_VALUE"""),37397.0)</f>
        <v>37397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IFERROR(__xludf.DUMMYFUNCTION("""COMPUTED_VALUE"""),39.97)</f>
        <v>39.97</v>
      </c>
      <c r="C180" s="1">
        <f>IFERROR(__xludf.DUMMYFUNCTION("""COMPUTED_VALUE"""),40.25)</f>
        <v>40.25</v>
      </c>
      <c r="D180" s="1">
        <f>IFERROR(__xludf.DUMMYFUNCTION("""COMPUTED_VALUE"""),39.61)</f>
        <v>39.61</v>
      </c>
      <c r="E180" s="1">
        <f>IFERROR(__xludf.DUMMYFUNCTION("""COMPUTED_VALUE"""),40.11)</f>
        <v>40.11</v>
      </c>
      <c r="F180" s="1">
        <f>IFERROR(__xludf.DUMMYFUNCTION("""COMPUTED_VALUE"""),67669.0)</f>
        <v>67669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IFERROR(__xludf.DUMMYFUNCTION("""COMPUTED_VALUE"""),40.07)</f>
        <v>40.07</v>
      </c>
      <c r="C181" s="1">
        <f>IFERROR(__xludf.DUMMYFUNCTION("""COMPUTED_VALUE"""),41.16)</f>
        <v>41.16</v>
      </c>
      <c r="D181" s="1">
        <f>IFERROR(__xludf.DUMMYFUNCTION("""COMPUTED_VALUE"""),39.93)</f>
        <v>39.93</v>
      </c>
      <c r="E181" s="1">
        <f>IFERROR(__xludf.DUMMYFUNCTION("""COMPUTED_VALUE"""),41.06)</f>
        <v>41.06</v>
      </c>
      <c r="F181" s="1">
        <f>IFERROR(__xludf.DUMMYFUNCTION("""COMPUTED_VALUE"""),52337.0)</f>
        <v>52337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IFERROR(__xludf.DUMMYFUNCTION("""COMPUTED_VALUE"""),40.93)</f>
        <v>40.93</v>
      </c>
      <c r="C182" s="1">
        <f>IFERROR(__xludf.DUMMYFUNCTION("""COMPUTED_VALUE"""),41.34)</f>
        <v>41.34</v>
      </c>
      <c r="D182" s="1">
        <f>IFERROR(__xludf.DUMMYFUNCTION("""COMPUTED_VALUE"""),40.57)</f>
        <v>40.57</v>
      </c>
      <c r="E182" s="1">
        <f>IFERROR(__xludf.DUMMYFUNCTION("""COMPUTED_VALUE"""),40.97)</f>
        <v>40.97</v>
      </c>
      <c r="F182" s="1">
        <f>IFERROR(__xludf.DUMMYFUNCTION("""COMPUTED_VALUE"""),35116.0)</f>
        <v>35116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IFERROR(__xludf.DUMMYFUNCTION("""COMPUTED_VALUE"""),40.77)</f>
        <v>40.77</v>
      </c>
      <c r="C183" s="1">
        <f>IFERROR(__xludf.DUMMYFUNCTION("""COMPUTED_VALUE"""),41.15)</f>
        <v>41.15</v>
      </c>
      <c r="D183" s="1">
        <f>IFERROR(__xludf.DUMMYFUNCTION("""COMPUTED_VALUE"""),40.41)</f>
        <v>40.41</v>
      </c>
      <c r="E183" s="1">
        <f>IFERROR(__xludf.DUMMYFUNCTION("""COMPUTED_VALUE"""),40.62)</f>
        <v>40.62</v>
      </c>
      <c r="F183" s="1">
        <f>IFERROR(__xludf.DUMMYFUNCTION("""COMPUTED_VALUE"""),31143.0)</f>
        <v>31143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IFERROR(__xludf.DUMMYFUNCTION("""COMPUTED_VALUE"""),40.24)</f>
        <v>40.24</v>
      </c>
      <c r="C184" s="1">
        <f>IFERROR(__xludf.DUMMYFUNCTION("""COMPUTED_VALUE"""),41.73)</f>
        <v>41.73</v>
      </c>
      <c r="D184" s="1">
        <f>IFERROR(__xludf.DUMMYFUNCTION("""COMPUTED_VALUE"""),40.16)</f>
        <v>40.16</v>
      </c>
      <c r="E184" s="1">
        <f>IFERROR(__xludf.DUMMYFUNCTION("""COMPUTED_VALUE"""),40.79)</f>
        <v>40.79</v>
      </c>
      <c r="F184" s="1">
        <f>IFERROR(__xludf.DUMMYFUNCTION("""COMPUTED_VALUE"""),85205.0)</f>
        <v>85205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IFERROR(__xludf.DUMMYFUNCTION("""COMPUTED_VALUE"""),41.27)</f>
        <v>41.27</v>
      </c>
      <c r="C185" s="1">
        <f>IFERROR(__xludf.DUMMYFUNCTION("""COMPUTED_VALUE"""),41.77)</f>
        <v>41.77</v>
      </c>
      <c r="D185" s="1">
        <f>IFERROR(__xludf.DUMMYFUNCTION("""COMPUTED_VALUE"""),40.89)</f>
        <v>40.89</v>
      </c>
      <c r="E185" s="1">
        <f>IFERROR(__xludf.DUMMYFUNCTION("""COMPUTED_VALUE"""),41.75)</f>
        <v>41.75</v>
      </c>
      <c r="F185" s="1">
        <f>IFERROR(__xludf.DUMMYFUNCTION("""COMPUTED_VALUE"""),44322.0)</f>
        <v>44322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IFERROR(__xludf.DUMMYFUNCTION("""COMPUTED_VALUE"""),41.75)</f>
        <v>41.75</v>
      </c>
      <c r="C186" s="1">
        <f>IFERROR(__xludf.DUMMYFUNCTION("""COMPUTED_VALUE"""),41.98)</f>
        <v>41.98</v>
      </c>
      <c r="D186" s="1">
        <f>IFERROR(__xludf.DUMMYFUNCTION("""COMPUTED_VALUE"""),41.51)</f>
        <v>41.51</v>
      </c>
      <c r="E186" s="1">
        <f>IFERROR(__xludf.DUMMYFUNCTION("""COMPUTED_VALUE"""),41.87)</f>
        <v>41.87</v>
      </c>
      <c r="F186" s="1">
        <f>IFERROR(__xludf.DUMMYFUNCTION("""COMPUTED_VALUE"""),59644.0)</f>
        <v>59644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IFERROR(__xludf.DUMMYFUNCTION("""COMPUTED_VALUE"""),41.72)</f>
        <v>41.72</v>
      </c>
      <c r="C187" s="1">
        <f>IFERROR(__xludf.DUMMYFUNCTION("""COMPUTED_VALUE"""),42.46)</f>
        <v>42.46</v>
      </c>
      <c r="D187" s="1">
        <f>IFERROR(__xludf.DUMMYFUNCTION("""COMPUTED_VALUE"""),41.27)</f>
        <v>41.27</v>
      </c>
      <c r="E187" s="1">
        <f>IFERROR(__xludf.DUMMYFUNCTION("""COMPUTED_VALUE"""),42.38)</f>
        <v>42.38</v>
      </c>
      <c r="F187" s="1">
        <f>IFERROR(__xludf.DUMMYFUNCTION("""COMPUTED_VALUE"""),51771.0)</f>
        <v>51771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IFERROR(__xludf.DUMMYFUNCTION("""COMPUTED_VALUE"""),42.12)</f>
        <v>42.12</v>
      </c>
      <c r="C188" s="1">
        <f>IFERROR(__xludf.DUMMYFUNCTION("""COMPUTED_VALUE"""),42.39)</f>
        <v>42.39</v>
      </c>
      <c r="D188" s="1">
        <f>IFERROR(__xludf.DUMMYFUNCTION("""COMPUTED_VALUE"""),41.57)</f>
        <v>41.57</v>
      </c>
      <c r="E188" s="1">
        <f>IFERROR(__xludf.DUMMYFUNCTION("""COMPUTED_VALUE"""),42.38)</f>
        <v>42.38</v>
      </c>
      <c r="F188" s="1">
        <f>IFERROR(__xludf.DUMMYFUNCTION("""COMPUTED_VALUE"""),48730.0)</f>
        <v>48730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IFERROR(__xludf.DUMMYFUNCTION("""COMPUTED_VALUE"""),42.73)</f>
        <v>42.73</v>
      </c>
      <c r="C189" s="1">
        <f>IFERROR(__xludf.DUMMYFUNCTION("""COMPUTED_VALUE"""),42.73)</f>
        <v>42.73</v>
      </c>
      <c r="D189" s="1">
        <f>IFERROR(__xludf.DUMMYFUNCTION("""COMPUTED_VALUE"""),41.77)</f>
        <v>41.77</v>
      </c>
      <c r="E189" s="1">
        <f>IFERROR(__xludf.DUMMYFUNCTION("""COMPUTED_VALUE"""),41.93)</f>
        <v>41.93</v>
      </c>
      <c r="F189" s="1">
        <f>IFERROR(__xludf.DUMMYFUNCTION("""COMPUTED_VALUE"""),68538.0)</f>
        <v>68538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IFERROR(__xludf.DUMMYFUNCTION("""COMPUTED_VALUE"""),42.28)</f>
        <v>42.28</v>
      </c>
      <c r="C190" s="1">
        <f>IFERROR(__xludf.DUMMYFUNCTION("""COMPUTED_VALUE"""),42.59)</f>
        <v>42.59</v>
      </c>
      <c r="D190" s="1">
        <f>IFERROR(__xludf.DUMMYFUNCTION("""COMPUTED_VALUE"""),41.92)</f>
        <v>41.92</v>
      </c>
      <c r="E190" s="1">
        <f>IFERROR(__xludf.DUMMYFUNCTION("""COMPUTED_VALUE"""),42.45)</f>
        <v>42.45</v>
      </c>
      <c r="F190" s="1">
        <f>IFERROR(__xludf.DUMMYFUNCTION("""COMPUTED_VALUE"""),29019.0)</f>
        <v>29019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IFERROR(__xludf.DUMMYFUNCTION("""COMPUTED_VALUE"""),42.27)</f>
        <v>42.27</v>
      </c>
      <c r="C191" s="1">
        <f>IFERROR(__xludf.DUMMYFUNCTION("""COMPUTED_VALUE"""),42.67)</f>
        <v>42.67</v>
      </c>
      <c r="D191" s="1">
        <f>IFERROR(__xludf.DUMMYFUNCTION("""COMPUTED_VALUE"""),41.59)</f>
        <v>41.59</v>
      </c>
      <c r="E191" s="1">
        <f>IFERROR(__xludf.DUMMYFUNCTION("""COMPUTED_VALUE"""),41.64)</f>
        <v>41.64</v>
      </c>
      <c r="F191" s="1">
        <f>IFERROR(__xludf.DUMMYFUNCTION("""COMPUTED_VALUE"""),30835.0)</f>
        <v>30835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IFERROR(__xludf.DUMMYFUNCTION("""COMPUTED_VALUE"""),42.08)</f>
        <v>42.08</v>
      </c>
      <c r="C192" s="1">
        <f>IFERROR(__xludf.DUMMYFUNCTION("""COMPUTED_VALUE"""),42.94)</f>
        <v>42.94</v>
      </c>
      <c r="D192" s="1">
        <f>IFERROR(__xludf.DUMMYFUNCTION("""COMPUTED_VALUE"""),41.78)</f>
        <v>41.78</v>
      </c>
      <c r="E192" s="1">
        <f>IFERROR(__xludf.DUMMYFUNCTION("""COMPUTED_VALUE"""),42.77)</f>
        <v>42.77</v>
      </c>
      <c r="F192" s="1">
        <f>IFERROR(__xludf.DUMMYFUNCTION("""COMPUTED_VALUE"""),46733.0)</f>
        <v>46733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IFERROR(__xludf.DUMMYFUNCTION("""COMPUTED_VALUE"""),42.82)</f>
        <v>42.82</v>
      </c>
      <c r="C193" s="1">
        <f>IFERROR(__xludf.DUMMYFUNCTION("""COMPUTED_VALUE"""),43.69)</f>
        <v>43.69</v>
      </c>
      <c r="D193" s="1">
        <f>IFERROR(__xludf.DUMMYFUNCTION("""COMPUTED_VALUE"""),42.74)</f>
        <v>42.74</v>
      </c>
      <c r="E193" s="1">
        <f>IFERROR(__xludf.DUMMYFUNCTION("""COMPUTED_VALUE"""),43.33)</f>
        <v>43.33</v>
      </c>
      <c r="F193" s="1">
        <f>IFERROR(__xludf.DUMMYFUNCTION("""COMPUTED_VALUE"""),37288.0)</f>
        <v>37288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IFERROR(__xludf.DUMMYFUNCTION("""COMPUTED_VALUE"""),43.63)</f>
        <v>43.63</v>
      </c>
      <c r="C194" s="1">
        <f>IFERROR(__xludf.DUMMYFUNCTION("""COMPUTED_VALUE"""),45.01)</f>
        <v>45.01</v>
      </c>
      <c r="D194" s="1">
        <f>IFERROR(__xludf.DUMMYFUNCTION("""COMPUTED_VALUE"""),42.97)</f>
        <v>42.97</v>
      </c>
      <c r="E194" s="1">
        <f>IFERROR(__xludf.DUMMYFUNCTION("""COMPUTED_VALUE"""),43.85)</f>
        <v>43.85</v>
      </c>
      <c r="F194" s="1">
        <f>IFERROR(__xludf.DUMMYFUNCTION("""COMPUTED_VALUE"""),57405.0)</f>
        <v>57405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IFERROR(__xludf.DUMMYFUNCTION("""COMPUTED_VALUE"""),43.78)</f>
        <v>43.78</v>
      </c>
      <c r="C195" s="1">
        <f>IFERROR(__xludf.DUMMYFUNCTION("""COMPUTED_VALUE"""),44.2)</f>
        <v>44.2</v>
      </c>
      <c r="D195" s="1">
        <f>IFERROR(__xludf.DUMMYFUNCTION("""COMPUTED_VALUE"""),43.12)</f>
        <v>43.12</v>
      </c>
      <c r="E195" s="1">
        <f>IFERROR(__xludf.DUMMYFUNCTION("""COMPUTED_VALUE"""),44.04)</f>
        <v>44.04</v>
      </c>
      <c r="F195" s="1">
        <f>IFERROR(__xludf.DUMMYFUNCTION("""COMPUTED_VALUE"""),37578.0)</f>
        <v>37578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IFERROR(__xludf.DUMMYFUNCTION("""COMPUTED_VALUE"""),43.93)</f>
        <v>43.93</v>
      </c>
      <c r="C196" s="1">
        <f>IFERROR(__xludf.DUMMYFUNCTION("""COMPUTED_VALUE"""),44.44)</f>
        <v>44.44</v>
      </c>
      <c r="D196" s="1">
        <f>IFERROR(__xludf.DUMMYFUNCTION("""COMPUTED_VALUE"""),43.23)</f>
        <v>43.23</v>
      </c>
      <c r="E196" s="1">
        <f>IFERROR(__xludf.DUMMYFUNCTION("""COMPUTED_VALUE"""),43.61)</f>
        <v>43.61</v>
      </c>
      <c r="F196" s="1">
        <f>IFERROR(__xludf.DUMMYFUNCTION("""COMPUTED_VALUE"""),23224.0)</f>
        <v>23224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IFERROR(__xludf.DUMMYFUNCTION("""COMPUTED_VALUE"""),43.46)</f>
        <v>43.46</v>
      </c>
      <c r="C197" s="1">
        <f>IFERROR(__xludf.DUMMYFUNCTION("""COMPUTED_VALUE"""),43.58)</f>
        <v>43.58</v>
      </c>
      <c r="D197" s="1">
        <f>IFERROR(__xludf.DUMMYFUNCTION("""COMPUTED_VALUE"""),43.05)</f>
        <v>43.05</v>
      </c>
      <c r="E197" s="1">
        <f>IFERROR(__xludf.DUMMYFUNCTION("""COMPUTED_VALUE"""),43.16)</f>
        <v>43.16</v>
      </c>
      <c r="F197" s="1">
        <f>IFERROR(__xludf.DUMMYFUNCTION("""COMPUTED_VALUE"""),19870.0)</f>
        <v>19870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IFERROR(__xludf.DUMMYFUNCTION("""COMPUTED_VALUE"""),43.31)</f>
        <v>43.31</v>
      </c>
      <c r="C198" s="1">
        <f>IFERROR(__xludf.DUMMYFUNCTION("""COMPUTED_VALUE"""),44.5)</f>
        <v>44.5</v>
      </c>
      <c r="D198" s="1">
        <f>IFERROR(__xludf.DUMMYFUNCTION("""COMPUTED_VALUE"""),43.14)</f>
        <v>43.14</v>
      </c>
      <c r="E198" s="1">
        <f>IFERROR(__xludf.DUMMYFUNCTION("""COMPUTED_VALUE"""),44.26)</f>
        <v>44.26</v>
      </c>
      <c r="F198" s="1">
        <f>IFERROR(__xludf.DUMMYFUNCTION("""COMPUTED_VALUE"""),32187.0)</f>
        <v>32187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IFERROR(__xludf.DUMMYFUNCTION("""COMPUTED_VALUE"""),44.13)</f>
        <v>44.13</v>
      </c>
      <c r="C199" s="1">
        <f>IFERROR(__xludf.DUMMYFUNCTION("""COMPUTED_VALUE"""),44.8)</f>
        <v>44.8</v>
      </c>
      <c r="D199" s="1">
        <f>IFERROR(__xludf.DUMMYFUNCTION("""COMPUTED_VALUE"""),43.38)</f>
        <v>43.38</v>
      </c>
      <c r="E199" s="1">
        <f>IFERROR(__xludf.DUMMYFUNCTION("""COMPUTED_VALUE"""),44.8)</f>
        <v>44.8</v>
      </c>
      <c r="F199" s="1">
        <f>IFERROR(__xludf.DUMMYFUNCTION("""COMPUTED_VALUE"""),23825.0)</f>
        <v>23825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IFERROR(__xludf.DUMMYFUNCTION("""COMPUTED_VALUE"""),45.2)</f>
        <v>45.2</v>
      </c>
      <c r="C200" s="1">
        <f>IFERROR(__xludf.DUMMYFUNCTION("""COMPUTED_VALUE"""),45.2)</f>
        <v>45.2</v>
      </c>
      <c r="D200" s="1">
        <f>IFERROR(__xludf.DUMMYFUNCTION("""COMPUTED_VALUE"""),44.19)</f>
        <v>44.19</v>
      </c>
      <c r="E200" s="1">
        <f>IFERROR(__xludf.DUMMYFUNCTION("""COMPUTED_VALUE"""),44.24)</f>
        <v>44.24</v>
      </c>
      <c r="F200" s="1">
        <f>IFERROR(__xludf.DUMMYFUNCTION("""COMPUTED_VALUE"""),113428.0)</f>
        <v>113428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IFERROR(__xludf.DUMMYFUNCTION("""COMPUTED_VALUE"""),44.4)</f>
        <v>44.4</v>
      </c>
      <c r="C201" s="1">
        <f>IFERROR(__xludf.DUMMYFUNCTION("""COMPUTED_VALUE"""),44.86)</f>
        <v>44.86</v>
      </c>
      <c r="D201" s="1">
        <f>IFERROR(__xludf.DUMMYFUNCTION("""COMPUTED_VALUE"""),44.37)</f>
        <v>44.37</v>
      </c>
      <c r="E201" s="1">
        <f>IFERROR(__xludf.DUMMYFUNCTION("""COMPUTED_VALUE"""),44.4)</f>
        <v>44.4</v>
      </c>
      <c r="F201" s="1">
        <f>IFERROR(__xludf.DUMMYFUNCTION("""COMPUTED_VALUE"""),28965.0)</f>
        <v>28965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IFERROR(__xludf.DUMMYFUNCTION("""COMPUTED_VALUE"""),43.99)</f>
        <v>43.99</v>
      </c>
      <c r="C202" s="1">
        <f>IFERROR(__xludf.DUMMYFUNCTION("""COMPUTED_VALUE"""),44.46)</f>
        <v>44.46</v>
      </c>
      <c r="D202" s="1">
        <f>IFERROR(__xludf.DUMMYFUNCTION("""COMPUTED_VALUE"""),43.58)</f>
        <v>43.58</v>
      </c>
      <c r="E202" s="1">
        <f>IFERROR(__xludf.DUMMYFUNCTION("""COMPUTED_VALUE"""),43.81)</f>
        <v>43.81</v>
      </c>
      <c r="F202" s="1">
        <f>IFERROR(__xludf.DUMMYFUNCTION("""COMPUTED_VALUE"""),41992.0)</f>
        <v>41992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IFERROR(__xludf.DUMMYFUNCTION("""COMPUTED_VALUE"""),43.79)</f>
        <v>43.79</v>
      </c>
      <c r="C203" s="1">
        <f>IFERROR(__xludf.DUMMYFUNCTION("""COMPUTED_VALUE"""),44.21)</f>
        <v>44.21</v>
      </c>
      <c r="D203" s="1">
        <f>IFERROR(__xludf.DUMMYFUNCTION("""COMPUTED_VALUE"""),43.39)</f>
        <v>43.39</v>
      </c>
      <c r="E203" s="1">
        <f>IFERROR(__xludf.DUMMYFUNCTION("""COMPUTED_VALUE"""),43.6)</f>
        <v>43.6</v>
      </c>
      <c r="F203" s="1">
        <f>IFERROR(__xludf.DUMMYFUNCTION("""COMPUTED_VALUE"""),40844.0)</f>
        <v>40844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IFERROR(__xludf.DUMMYFUNCTION("""COMPUTED_VALUE"""),43.91)</f>
        <v>43.91</v>
      </c>
      <c r="C204" s="1">
        <f>IFERROR(__xludf.DUMMYFUNCTION("""COMPUTED_VALUE"""),43.91)</f>
        <v>43.91</v>
      </c>
      <c r="D204" s="1">
        <f>IFERROR(__xludf.DUMMYFUNCTION("""COMPUTED_VALUE"""),42.04)</f>
        <v>42.04</v>
      </c>
      <c r="E204" s="1">
        <f>IFERROR(__xludf.DUMMYFUNCTION("""COMPUTED_VALUE"""),42.94)</f>
        <v>42.94</v>
      </c>
      <c r="F204" s="1">
        <f>IFERROR(__xludf.DUMMYFUNCTION("""COMPUTED_VALUE"""),35162.0)</f>
        <v>35162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IFERROR(__xludf.DUMMYFUNCTION("""COMPUTED_VALUE"""),42.94)</f>
        <v>42.94</v>
      </c>
      <c r="C205" s="1">
        <f>IFERROR(__xludf.DUMMYFUNCTION("""COMPUTED_VALUE"""),43.18)</f>
        <v>43.18</v>
      </c>
      <c r="D205" s="1">
        <f>IFERROR(__xludf.DUMMYFUNCTION("""COMPUTED_VALUE"""),42.38)</f>
        <v>42.38</v>
      </c>
      <c r="E205" s="1">
        <f>IFERROR(__xludf.DUMMYFUNCTION("""COMPUTED_VALUE"""),43.09)</f>
        <v>43.09</v>
      </c>
      <c r="F205" s="1">
        <f>IFERROR(__xludf.DUMMYFUNCTION("""COMPUTED_VALUE"""),63498.0)</f>
        <v>63498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IFERROR(__xludf.DUMMYFUNCTION("""COMPUTED_VALUE"""),43.37)</f>
        <v>43.37</v>
      </c>
      <c r="C206" s="1">
        <f>IFERROR(__xludf.DUMMYFUNCTION("""COMPUTED_VALUE"""),43.37)</f>
        <v>43.37</v>
      </c>
      <c r="D206" s="1">
        <f>IFERROR(__xludf.DUMMYFUNCTION("""COMPUTED_VALUE"""),42.82)</f>
        <v>42.82</v>
      </c>
      <c r="E206" s="1">
        <f>IFERROR(__xludf.DUMMYFUNCTION("""COMPUTED_VALUE"""),42.9)</f>
        <v>42.9</v>
      </c>
      <c r="F206" s="1">
        <f>IFERROR(__xludf.DUMMYFUNCTION("""COMPUTED_VALUE"""),19563.0)</f>
        <v>19563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IFERROR(__xludf.DUMMYFUNCTION("""COMPUTED_VALUE"""),42.64)</f>
        <v>42.64</v>
      </c>
      <c r="C207" s="1">
        <f>IFERROR(__xludf.DUMMYFUNCTION("""COMPUTED_VALUE"""),43.05)</f>
        <v>43.05</v>
      </c>
      <c r="D207" s="1">
        <f>IFERROR(__xludf.DUMMYFUNCTION("""COMPUTED_VALUE"""),42.53)</f>
        <v>42.53</v>
      </c>
      <c r="E207" s="1">
        <f>IFERROR(__xludf.DUMMYFUNCTION("""COMPUTED_VALUE"""),42.92)</f>
        <v>42.92</v>
      </c>
      <c r="F207" s="1">
        <f>IFERROR(__xludf.DUMMYFUNCTION("""COMPUTED_VALUE"""),28404.0)</f>
        <v>28404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IFERROR(__xludf.DUMMYFUNCTION("""COMPUTED_VALUE"""),42.63)</f>
        <v>42.63</v>
      </c>
      <c r="C208" s="1">
        <f>IFERROR(__xludf.DUMMYFUNCTION("""COMPUTED_VALUE"""),42.92)</f>
        <v>42.92</v>
      </c>
      <c r="D208" s="1">
        <f>IFERROR(__xludf.DUMMYFUNCTION("""COMPUTED_VALUE"""),42.07)</f>
        <v>42.07</v>
      </c>
      <c r="E208" s="1">
        <f>IFERROR(__xludf.DUMMYFUNCTION("""COMPUTED_VALUE"""),42.3)</f>
        <v>42.3</v>
      </c>
      <c r="F208" s="1">
        <f>IFERROR(__xludf.DUMMYFUNCTION("""COMPUTED_VALUE"""),20823.0)</f>
        <v>20823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IFERROR(__xludf.DUMMYFUNCTION("""COMPUTED_VALUE"""),42.66)</f>
        <v>42.66</v>
      </c>
      <c r="C209" s="1">
        <f>IFERROR(__xludf.DUMMYFUNCTION("""COMPUTED_VALUE"""),42.75)</f>
        <v>42.75</v>
      </c>
      <c r="D209" s="1">
        <f>IFERROR(__xludf.DUMMYFUNCTION("""COMPUTED_VALUE"""),41.66)</f>
        <v>41.66</v>
      </c>
      <c r="E209" s="1">
        <f>IFERROR(__xludf.DUMMYFUNCTION("""COMPUTED_VALUE"""),42.58)</f>
        <v>42.58</v>
      </c>
      <c r="F209" s="1">
        <f>IFERROR(__xludf.DUMMYFUNCTION("""COMPUTED_VALUE"""),28238.0)</f>
        <v>28238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IFERROR(__xludf.DUMMYFUNCTION("""COMPUTED_VALUE"""),42.42)</f>
        <v>42.42</v>
      </c>
      <c r="C210" s="1">
        <f>IFERROR(__xludf.DUMMYFUNCTION("""COMPUTED_VALUE"""),43.31)</f>
        <v>43.31</v>
      </c>
      <c r="D210" s="1">
        <f>IFERROR(__xludf.DUMMYFUNCTION("""COMPUTED_VALUE"""),42.33)</f>
        <v>42.33</v>
      </c>
      <c r="E210" s="1">
        <f>IFERROR(__xludf.DUMMYFUNCTION("""COMPUTED_VALUE"""),42.87)</f>
        <v>42.87</v>
      </c>
      <c r="F210" s="1">
        <f>IFERROR(__xludf.DUMMYFUNCTION("""COMPUTED_VALUE"""),17899.0)</f>
        <v>17899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IFERROR(__xludf.DUMMYFUNCTION("""COMPUTED_VALUE"""),42.87)</f>
        <v>42.87</v>
      </c>
      <c r="C211" s="1">
        <f>IFERROR(__xludf.DUMMYFUNCTION("""COMPUTED_VALUE"""),43.05)</f>
        <v>43.05</v>
      </c>
      <c r="D211" s="1">
        <f>IFERROR(__xludf.DUMMYFUNCTION("""COMPUTED_VALUE"""),42.08)</f>
        <v>42.08</v>
      </c>
      <c r="E211" s="1">
        <f>IFERROR(__xludf.DUMMYFUNCTION("""COMPUTED_VALUE"""),42.26)</f>
        <v>42.26</v>
      </c>
      <c r="F211" s="1">
        <f>IFERROR(__xludf.DUMMYFUNCTION("""COMPUTED_VALUE"""),12382.0)</f>
        <v>12382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IFERROR(__xludf.DUMMYFUNCTION("""COMPUTED_VALUE"""),42.5)</f>
        <v>42.5</v>
      </c>
      <c r="C212" s="1">
        <f>IFERROR(__xludf.DUMMYFUNCTION("""COMPUTED_VALUE"""),43.52)</f>
        <v>43.52</v>
      </c>
      <c r="D212" s="1">
        <f>IFERROR(__xludf.DUMMYFUNCTION("""COMPUTED_VALUE"""),42.5)</f>
        <v>42.5</v>
      </c>
      <c r="E212" s="1">
        <f>IFERROR(__xludf.DUMMYFUNCTION("""COMPUTED_VALUE"""),43.12)</f>
        <v>43.12</v>
      </c>
      <c r="F212" s="1">
        <f>IFERROR(__xludf.DUMMYFUNCTION("""COMPUTED_VALUE"""),40439.0)</f>
        <v>40439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IFERROR(__xludf.DUMMYFUNCTION("""COMPUTED_VALUE"""),43.03)</f>
        <v>43.03</v>
      </c>
      <c r="C213" s="1">
        <f>IFERROR(__xludf.DUMMYFUNCTION("""COMPUTED_VALUE"""),43.28)</f>
        <v>43.28</v>
      </c>
      <c r="D213" s="1">
        <f>IFERROR(__xludf.DUMMYFUNCTION("""COMPUTED_VALUE"""),42.55)</f>
        <v>42.55</v>
      </c>
      <c r="E213" s="1">
        <f>IFERROR(__xludf.DUMMYFUNCTION("""COMPUTED_VALUE"""),43.04)</f>
        <v>43.04</v>
      </c>
      <c r="F213" s="1">
        <f>IFERROR(__xludf.DUMMYFUNCTION("""COMPUTED_VALUE"""),22186.0)</f>
        <v>22186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IFERROR(__xludf.DUMMYFUNCTION("""COMPUTED_VALUE"""),43.75)</f>
        <v>43.75</v>
      </c>
      <c r="C214" s="1">
        <f>IFERROR(__xludf.DUMMYFUNCTION("""COMPUTED_VALUE"""),44.19)</f>
        <v>44.19</v>
      </c>
      <c r="D214" s="1">
        <f>IFERROR(__xludf.DUMMYFUNCTION("""COMPUTED_VALUE"""),42.61)</f>
        <v>42.61</v>
      </c>
      <c r="E214" s="1">
        <f>IFERROR(__xludf.DUMMYFUNCTION("""COMPUTED_VALUE"""),43.1)</f>
        <v>43.1</v>
      </c>
      <c r="F214" s="1">
        <f>IFERROR(__xludf.DUMMYFUNCTION("""COMPUTED_VALUE"""),51188.0)</f>
        <v>51188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IFERROR(__xludf.DUMMYFUNCTION("""COMPUTED_VALUE"""),43.32)</f>
        <v>43.32</v>
      </c>
      <c r="C215" s="1">
        <f>IFERROR(__xludf.DUMMYFUNCTION("""COMPUTED_VALUE"""),43.61)</f>
        <v>43.61</v>
      </c>
      <c r="D215" s="1">
        <f>IFERROR(__xludf.DUMMYFUNCTION("""COMPUTED_VALUE"""),43.02)</f>
        <v>43.02</v>
      </c>
      <c r="E215" s="1">
        <f>IFERROR(__xludf.DUMMYFUNCTION("""COMPUTED_VALUE"""),43.49)</f>
        <v>43.49</v>
      </c>
      <c r="F215" s="1">
        <f>IFERROR(__xludf.DUMMYFUNCTION("""COMPUTED_VALUE"""),31793.0)</f>
        <v>31793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IFERROR(__xludf.DUMMYFUNCTION("""COMPUTED_VALUE"""),43.47)</f>
        <v>43.47</v>
      </c>
      <c r="C216" s="1">
        <f>IFERROR(__xludf.DUMMYFUNCTION("""COMPUTED_VALUE"""),43.61)</f>
        <v>43.61</v>
      </c>
      <c r="D216" s="1">
        <f>IFERROR(__xludf.DUMMYFUNCTION("""COMPUTED_VALUE"""),42.87)</f>
        <v>42.87</v>
      </c>
      <c r="E216" s="1">
        <f>IFERROR(__xludf.DUMMYFUNCTION("""COMPUTED_VALUE"""),43.06)</f>
        <v>43.06</v>
      </c>
      <c r="F216" s="1">
        <f>IFERROR(__xludf.DUMMYFUNCTION("""COMPUTED_VALUE"""),22601.0)</f>
        <v>22601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IFERROR(__xludf.DUMMYFUNCTION("""COMPUTED_VALUE"""),43.05)</f>
        <v>43.05</v>
      </c>
      <c r="C217" s="1">
        <f>IFERROR(__xludf.DUMMYFUNCTION("""COMPUTED_VALUE"""),43.1)</f>
        <v>43.1</v>
      </c>
      <c r="D217" s="1">
        <f>IFERROR(__xludf.DUMMYFUNCTION("""COMPUTED_VALUE"""),42.31)</f>
        <v>42.31</v>
      </c>
      <c r="E217" s="1">
        <f>IFERROR(__xludf.DUMMYFUNCTION("""COMPUTED_VALUE"""),42.57)</f>
        <v>42.57</v>
      </c>
      <c r="F217" s="1">
        <f>IFERROR(__xludf.DUMMYFUNCTION("""COMPUTED_VALUE"""),32473.0)</f>
        <v>32473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IFERROR(__xludf.DUMMYFUNCTION("""COMPUTED_VALUE"""),42.72)</f>
        <v>42.72</v>
      </c>
      <c r="C218" s="1">
        <f>IFERROR(__xludf.DUMMYFUNCTION("""COMPUTED_VALUE"""),43.33)</f>
        <v>43.33</v>
      </c>
      <c r="D218" s="1">
        <f>IFERROR(__xludf.DUMMYFUNCTION("""COMPUTED_VALUE"""),42.04)</f>
        <v>42.04</v>
      </c>
      <c r="E218" s="1">
        <f>IFERROR(__xludf.DUMMYFUNCTION("""COMPUTED_VALUE"""),43.21)</f>
        <v>43.21</v>
      </c>
      <c r="F218" s="1">
        <f>IFERROR(__xludf.DUMMYFUNCTION("""COMPUTED_VALUE"""),37662.0)</f>
        <v>37662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IFERROR(__xludf.DUMMYFUNCTION("""COMPUTED_VALUE"""),42.75)</f>
        <v>42.75</v>
      </c>
      <c r="C219" s="1">
        <f>IFERROR(__xludf.DUMMYFUNCTION("""COMPUTED_VALUE"""),43.36)</f>
        <v>43.36</v>
      </c>
      <c r="D219" s="1">
        <f>IFERROR(__xludf.DUMMYFUNCTION("""COMPUTED_VALUE"""),42.56)</f>
        <v>42.56</v>
      </c>
      <c r="E219" s="1">
        <f>IFERROR(__xludf.DUMMYFUNCTION("""COMPUTED_VALUE"""),43.0)</f>
        <v>43</v>
      </c>
      <c r="F219" s="1">
        <f>IFERROR(__xludf.DUMMYFUNCTION("""COMPUTED_VALUE"""),12679.0)</f>
        <v>12679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IFERROR(__xludf.DUMMYFUNCTION("""COMPUTED_VALUE"""),42.59)</f>
        <v>42.59</v>
      </c>
      <c r="C220" s="1">
        <f>IFERROR(__xludf.DUMMYFUNCTION("""COMPUTED_VALUE"""),42.65)</f>
        <v>42.65</v>
      </c>
      <c r="D220" s="1">
        <f>IFERROR(__xludf.DUMMYFUNCTION("""COMPUTED_VALUE"""),42.06)</f>
        <v>42.06</v>
      </c>
      <c r="E220" s="1">
        <f>IFERROR(__xludf.DUMMYFUNCTION("""COMPUTED_VALUE"""),42.26)</f>
        <v>42.26</v>
      </c>
      <c r="F220" s="1">
        <f>IFERROR(__xludf.DUMMYFUNCTION("""COMPUTED_VALUE"""),23679.0)</f>
        <v>23679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IFERROR(__xludf.DUMMYFUNCTION("""COMPUTED_VALUE"""),42.39)</f>
        <v>42.39</v>
      </c>
      <c r="C221" s="1">
        <f>IFERROR(__xludf.DUMMYFUNCTION("""COMPUTED_VALUE"""),43.0)</f>
        <v>43</v>
      </c>
      <c r="D221" s="1">
        <f>IFERROR(__xludf.DUMMYFUNCTION("""COMPUTED_VALUE"""),42.39)</f>
        <v>42.39</v>
      </c>
      <c r="E221" s="1">
        <f>IFERROR(__xludf.DUMMYFUNCTION("""COMPUTED_VALUE"""),42.77)</f>
        <v>42.77</v>
      </c>
      <c r="F221" s="1">
        <f>IFERROR(__xludf.DUMMYFUNCTION("""COMPUTED_VALUE"""),12252.0)</f>
        <v>12252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IFERROR(__xludf.DUMMYFUNCTION("""COMPUTED_VALUE"""),42.51)</f>
        <v>42.51</v>
      </c>
      <c r="C222" s="1">
        <f>IFERROR(__xludf.DUMMYFUNCTION("""COMPUTED_VALUE"""),42.81)</f>
        <v>42.81</v>
      </c>
      <c r="D222" s="1">
        <f>IFERROR(__xludf.DUMMYFUNCTION("""COMPUTED_VALUE"""),41.59)</f>
        <v>41.59</v>
      </c>
      <c r="E222" s="1">
        <f>IFERROR(__xludf.DUMMYFUNCTION("""COMPUTED_VALUE"""),41.92)</f>
        <v>41.92</v>
      </c>
      <c r="F222" s="1">
        <f>IFERROR(__xludf.DUMMYFUNCTION("""COMPUTED_VALUE"""),34091.0)</f>
        <v>34091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IFERROR(__xludf.DUMMYFUNCTION("""COMPUTED_VALUE"""),41.8)</f>
        <v>41.8</v>
      </c>
      <c r="C223" s="1">
        <f>IFERROR(__xludf.DUMMYFUNCTION("""COMPUTED_VALUE"""),41.99)</f>
        <v>41.99</v>
      </c>
      <c r="D223" s="1">
        <f>IFERROR(__xludf.DUMMYFUNCTION("""COMPUTED_VALUE"""),41.44)</f>
        <v>41.44</v>
      </c>
      <c r="E223" s="1">
        <f>IFERROR(__xludf.DUMMYFUNCTION("""COMPUTED_VALUE"""),41.61)</f>
        <v>41.61</v>
      </c>
      <c r="F223" s="1">
        <f>IFERROR(__xludf.DUMMYFUNCTION("""COMPUTED_VALUE"""),14562.0)</f>
        <v>14562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IFERROR(__xludf.DUMMYFUNCTION("""COMPUTED_VALUE"""),41.8)</f>
        <v>41.8</v>
      </c>
      <c r="C224" s="1">
        <f>IFERROR(__xludf.DUMMYFUNCTION("""COMPUTED_VALUE"""),43.48)</f>
        <v>43.48</v>
      </c>
      <c r="D224" s="1">
        <f>IFERROR(__xludf.DUMMYFUNCTION("""COMPUTED_VALUE"""),41.8)</f>
        <v>41.8</v>
      </c>
      <c r="E224" s="1">
        <f>IFERROR(__xludf.DUMMYFUNCTION("""COMPUTED_VALUE"""),43.18)</f>
        <v>43.18</v>
      </c>
      <c r="F224" s="1">
        <f>IFERROR(__xludf.DUMMYFUNCTION("""COMPUTED_VALUE"""),31696.0)</f>
        <v>31696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IFERROR(__xludf.DUMMYFUNCTION("""COMPUTED_VALUE"""),43.26)</f>
        <v>43.26</v>
      </c>
      <c r="C225" s="1">
        <f>IFERROR(__xludf.DUMMYFUNCTION("""COMPUTED_VALUE"""),43.52)</f>
        <v>43.52</v>
      </c>
      <c r="D225" s="1">
        <f>IFERROR(__xludf.DUMMYFUNCTION("""COMPUTED_VALUE"""),42.74)</f>
        <v>42.74</v>
      </c>
      <c r="E225" s="1">
        <f>IFERROR(__xludf.DUMMYFUNCTION("""COMPUTED_VALUE"""),42.99)</f>
        <v>42.99</v>
      </c>
      <c r="F225" s="1">
        <f>IFERROR(__xludf.DUMMYFUNCTION("""COMPUTED_VALUE"""),38373.0)</f>
        <v>38373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IFERROR(__xludf.DUMMYFUNCTION("""COMPUTED_VALUE"""),42.92)</f>
        <v>42.92</v>
      </c>
      <c r="C226" s="1">
        <f>IFERROR(__xludf.DUMMYFUNCTION("""COMPUTED_VALUE"""),43.21)</f>
        <v>43.21</v>
      </c>
      <c r="D226" s="1">
        <f>IFERROR(__xludf.DUMMYFUNCTION("""COMPUTED_VALUE"""),42.49)</f>
        <v>42.49</v>
      </c>
      <c r="E226" s="1">
        <f>IFERROR(__xludf.DUMMYFUNCTION("""COMPUTED_VALUE"""),42.93)</f>
        <v>42.93</v>
      </c>
      <c r="F226" s="1">
        <f>IFERROR(__xludf.DUMMYFUNCTION("""COMPUTED_VALUE"""),15120.0)</f>
        <v>15120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IFERROR(__xludf.DUMMYFUNCTION("""COMPUTED_VALUE"""),42.48)</f>
        <v>42.48</v>
      </c>
      <c r="C227" s="1">
        <f>IFERROR(__xludf.DUMMYFUNCTION("""COMPUTED_VALUE"""),43.05)</f>
        <v>43.05</v>
      </c>
      <c r="D227" s="1">
        <f>IFERROR(__xludf.DUMMYFUNCTION("""COMPUTED_VALUE"""),42.48)</f>
        <v>42.48</v>
      </c>
      <c r="E227" s="1">
        <f>IFERROR(__xludf.DUMMYFUNCTION("""COMPUTED_VALUE"""),42.83)</f>
        <v>42.83</v>
      </c>
      <c r="F227" s="1">
        <f>IFERROR(__xludf.DUMMYFUNCTION("""COMPUTED_VALUE"""),16226.0)</f>
        <v>16226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IFERROR(__xludf.DUMMYFUNCTION("""COMPUTED_VALUE"""),43.25)</f>
        <v>43.25</v>
      </c>
      <c r="C228" s="1">
        <f>IFERROR(__xludf.DUMMYFUNCTION("""COMPUTED_VALUE"""),44.47)</f>
        <v>44.47</v>
      </c>
      <c r="D228" s="1">
        <f>IFERROR(__xludf.DUMMYFUNCTION("""COMPUTED_VALUE"""),43.25)</f>
        <v>43.25</v>
      </c>
      <c r="E228" s="1">
        <f>IFERROR(__xludf.DUMMYFUNCTION("""COMPUTED_VALUE"""),44.29)</f>
        <v>44.29</v>
      </c>
      <c r="F228" s="1">
        <f>IFERROR(__xludf.DUMMYFUNCTION("""COMPUTED_VALUE"""),49072.0)</f>
        <v>49072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IFERROR(__xludf.DUMMYFUNCTION("""COMPUTED_VALUE"""),44.14)</f>
        <v>44.14</v>
      </c>
      <c r="C229" s="1">
        <f>IFERROR(__xludf.DUMMYFUNCTION("""COMPUTED_VALUE"""),44.65)</f>
        <v>44.65</v>
      </c>
      <c r="D229" s="1">
        <f>IFERROR(__xludf.DUMMYFUNCTION("""COMPUTED_VALUE"""),43.56)</f>
        <v>43.56</v>
      </c>
      <c r="E229" s="1">
        <f>IFERROR(__xludf.DUMMYFUNCTION("""COMPUTED_VALUE"""),44.64)</f>
        <v>44.64</v>
      </c>
      <c r="F229" s="1">
        <f>IFERROR(__xludf.DUMMYFUNCTION("""COMPUTED_VALUE"""),11908.0)</f>
        <v>11908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IFERROR(__xludf.DUMMYFUNCTION("""COMPUTED_VALUE"""),44.29)</f>
        <v>44.29</v>
      </c>
      <c r="C230" s="1">
        <f>IFERROR(__xludf.DUMMYFUNCTION("""COMPUTED_VALUE"""),46.19)</f>
        <v>46.19</v>
      </c>
      <c r="D230" s="1">
        <f>IFERROR(__xludf.DUMMYFUNCTION("""COMPUTED_VALUE"""),44.29)</f>
        <v>44.29</v>
      </c>
      <c r="E230" s="1">
        <f>IFERROR(__xludf.DUMMYFUNCTION("""COMPUTED_VALUE"""),45.92)</f>
        <v>45.92</v>
      </c>
      <c r="F230" s="1">
        <f>IFERROR(__xludf.DUMMYFUNCTION("""COMPUTED_VALUE"""),97199.0)</f>
        <v>97199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IFERROR(__xludf.DUMMYFUNCTION("""COMPUTED_VALUE"""),45.75)</f>
        <v>45.75</v>
      </c>
      <c r="C231" s="1">
        <f>IFERROR(__xludf.DUMMYFUNCTION("""COMPUTED_VALUE"""),46.3)</f>
        <v>46.3</v>
      </c>
      <c r="D231" s="1">
        <f>IFERROR(__xludf.DUMMYFUNCTION("""COMPUTED_VALUE"""),45.36)</f>
        <v>45.36</v>
      </c>
      <c r="E231" s="1">
        <f>IFERROR(__xludf.DUMMYFUNCTION("""COMPUTED_VALUE"""),45.75)</f>
        <v>45.75</v>
      </c>
      <c r="F231" s="1">
        <f>IFERROR(__xludf.DUMMYFUNCTION("""COMPUTED_VALUE"""),150617.0)</f>
        <v>150617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IFERROR(__xludf.DUMMYFUNCTION("""COMPUTED_VALUE"""),46.34)</f>
        <v>46.34</v>
      </c>
      <c r="C232" s="1">
        <f>IFERROR(__xludf.DUMMYFUNCTION("""COMPUTED_VALUE"""),48.39)</f>
        <v>48.39</v>
      </c>
      <c r="D232" s="1">
        <f>IFERROR(__xludf.DUMMYFUNCTION("""COMPUTED_VALUE"""),46.34)</f>
        <v>46.34</v>
      </c>
      <c r="E232" s="1">
        <f>IFERROR(__xludf.DUMMYFUNCTION("""COMPUTED_VALUE"""),47.14)</f>
        <v>47.14</v>
      </c>
      <c r="F232" s="1">
        <f>IFERROR(__xludf.DUMMYFUNCTION("""COMPUTED_VALUE"""),104539.0)</f>
        <v>104539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IFERROR(__xludf.DUMMYFUNCTION("""COMPUTED_VALUE"""),47.07)</f>
        <v>47.07</v>
      </c>
      <c r="C233" s="1">
        <f>IFERROR(__xludf.DUMMYFUNCTION("""COMPUTED_VALUE"""),47.98)</f>
        <v>47.98</v>
      </c>
      <c r="D233" s="1">
        <f>IFERROR(__xludf.DUMMYFUNCTION("""COMPUTED_VALUE"""),46.58)</f>
        <v>46.58</v>
      </c>
      <c r="E233" s="1">
        <f>IFERROR(__xludf.DUMMYFUNCTION("""COMPUTED_VALUE"""),47.76)</f>
        <v>47.76</v>
      </c>
      <c r="F233" s="1">
        <f>IFERROR(__xludf.DUMMYFUNCTION("""COMPUTED_VALUE"""),57108.0)</f>
        <v>57108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IFERROR(__xludf.DUMMYFUNCTION("""COMPUTED_VALUE"""),47.54)</f>
        <v>47.54</v>
      </c>
      <c r="C234" s="1">
        <f>IFERROR(__xludf.DUMMYFUNCTION("""COMPUTED_VALUE"""),48.5)</f>
        <v>48.5</v>
      </c>
      <c r="D234" s="1">
        <f>IFERROR(__xludf.DUMMYFUNCTION("""COMPUTED_VALUE"""),47.42)</f>
        <v>47.42</v>
      </c>
      <c r="E234" s="1">
        <f>IFERROR(__xludf.DUMMYFUNCTION("""COMPUTED_VALUE"""),48.23)</f>
        <v>48.23</v>
      </c>
      <c r="F234" s="1">
        <f>IFERROR(__xludf.DUMMYFUNCTION("""COMPUTED_VALUE"""),37267.0)</f>
        <v>37267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IFERROR(__xludf.DUMMYFUNCTION("""COMPUTED_VALUE"""),48.05)</f>
        <v>48.05</v>
      </c>
      <c r="C235" s="1">
        <f>IFERROR(__xludf.DUMMYFUNCTION("""COMPUTED_VALUE"""),49.7)</f>
        <v>49.7</v>
      </c>
      <c r="D235" s="1">
        <f>IFERROR(__xludf.DUMMYFUNCTION("""COMPUTED_VALUE"""),48.05)</f>
        <v>48.05</v>
      </c>
      <c r="E235" s="1">
        <f>IFERROR(__xludf.DUMMYFUNCTION("""COMPUTED_VALUE"""),49.15)</f>
        <v>49.15</v>
      </c>
      <c r="F235" s="1">
        <f>IFERROR(__xludf.DUMMYFUNCTION("""COMPUTED_VALUE"""),68208.0)</f>
        <v>68208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IFERROR(__xludf.DUMMYFUNCTION("""COMPUTED_VALUE"""),49.35)</f>
        <v>49.35</v>
      </c>
      <c r="C236" s="1">
        <f>IFERROR(__xludf.DUMMYFUNCTION("""COMPUTED_VALUE"""),49.88)</f>
        <v>49.88</v>
      </c>
      <c r="D236" s="1">
        <f>IFERROR(__xludf.DUMMYFUNCTION("""COMPUTED_VALUE"""),48.97)</f>
        <v>48.97</v>
      </c>
      <c r="E236" s="1">
        <f>IFERROR(__xludf.DUMMYFUNCTION("""COMPUTED_VALUE"""),49.05)</f>
        <v>49.05</v>
      </c>
      <c r="F236" s="1">
        <f>IFERROR(__xludf.DUMMYFUNCTION("""COMPUTED_VALUE"""),76731.0)</f>
        <v>76731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IFERROR(__xludf.DUMMYFUNCTION("""COMPUTED_VALUE"""),49.05)</f>
        <v>49.05</v>
      </c>
      <c r="C237" s="1">
        <f>IFERROR(__xludf.DUMMYFUNCTION("""COMPUTED_VALUE"""),49.39)</f>
        <v>49.39</v>
      </c>
      <c r="D237" s="1">
        <f>IFERROR(__xludf.DUMMYFUNCTION("""COMPUTED_VALUE"""),48.13)</f>
        <v>48.13</v>
      </c>
      <c r="E237" s="1">
        <f>IFERROR(__xludf.DUMMYFUNCTION("""COMPUTED_VALUE"""),48.31)</f>
        <v>48.31</v>
      </c>
      <c r="F237" s="1">
        <f>IFERROR(__xludf.DUMMYFUNCTION("""COMPUTED_VALUE"""),38972.0)</f>
        <v>38972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IFERROR(__xludf.DUMMYFUNCTION("""COMPUTED_VALUE"""),48.3)</f>
        <v>48.3</v>
      </c>
      <c r="C238" s="1">
        <f>IFERROR(__xludf.DUMMYFUNCTION("""COMPUTED_VALUE"""),48.4)</f>
        <v>48.4</v>
      </c>
      <c r="D238" s="1">
        <f>IFERROR(__xludf.DUMMYFUNCTION("""COMPUTED_VALUE"""),47.27)</f>
        <v>47.27</v>
      </c>
      <c r="E238" s="1">
        <f>IFERROR(__xludf.DUMMYFUNCTION("""COMPUTED_VALUE"""),47.81)</f>
        <v>47.81</v>
      </c>
      <c r="F238" s="1">
        <f>IFERROR(__xludf.DUMMYFUNCTION("""COMPUTED_VALUE"""),74316.0)</f>
        <v>74316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IFERROR(__xludf.DUMMYFUNCTION("""COMPUTED_VALUE"""),47.78)</f>
        <v>47.78</v>
      </c>
      <c r="C239" s="1">
        <f>IFERROR(__xludf.DUMMYFUNCTION("""COMPUTED_VALUE"""),48.64)</f>
        <v>48.64</v>
      </c>
      <c r="D239" s="1">
        <f>IFERROR(__xludf.DUMMYFUNCTION("""COMPUTED_VALUE"""),47.56)</f>
        <v>47.56</v>
      </c>
      <c r="E239" s="1">
        <f>IFERROR(__xludf.DUMMYFUNCTION("""COMPUTED_VALUE"""),48.25)</f>
        <v>48.25</v>
      </c>
      <c r="F239" s="1">
        <f>IFERROR(__xludf.DUMMYFUNCTION("""COMPUTED_VALUE"""),41606.0)</f>
        <v>41606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IFERROR(__xludf.DUMMYFUNCTION("""COMPUTED_VALUE"""),48.13)</f>
        <v>48.13</v>
      </c>
      <c r="C240" s="1">
        <f>IFERROR(__xludf.DUMMYFUNCTION("""COMPUTED_VALUE"""),48.57)</f>
        <v>48.57</v>
      </c>
      <c r="D240" s="1">
        <f>IFERROR(__xludf.DUMMYFUNCTION("""COMPUTED_VALUE"""),47.07)</f>
        <v>47.07</v>
      </c>
      <c r="E240" s="1">
        <f>IFERROR(__xludf.DUMMYFUNCTION("""COMPUTED_VALUE"""),47.98)</f>
        <v>47.98</v>
      </c>
      <c r="F240" s="1">
        <f>IFERROR(__xludf.DUMMYFUNCTION("""COMPUTED_VALUE"""),39149.0)</f>
        <v>39149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IFERROR(__xludf.DUMMYFUNCTION("""COMPUTED_VALUE"""),48.0)</f>
        <v>48</v>
      </c>
      <c r="C241" s="1">
        <f>IFERROR(__xludf.DUMMYFUNCTION("""COMPUTED_VALUE"""),48.39)</f>
        <v>48.39</v>
      </c>
      <c r="D241" s="1">
        <f>IFERROR(__xludf.DUMMYFUNCTION("""COMPUTED_VALUE"""),47.76)</f>
        <v>47.76</v>
      </c>
      <c r="E241" s="1">
        <f>IFERROR(__xludf.DUMMYFUNCTION("""COMPUTED_VALUE"""),47.99)</f>
        <v>47.99</v>
      </c>
      <c r="F241" s="1">
        <f>IFERROR(__xludf.DUMMYFUNCTION("""COMPUTED_VALUE"""),46715.0)</f>
        <v>46715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IFERROR(__xludf.DUMMYFUNCTION("""COMPUTED_VALUE"""),47.76)</f>
        <v>47.76</v>
      </c>
      <c r="C242" s="1">
        <f>IFERROR(__xludf.DUMMYFUNCTION("""COMPUTED_VALUE"""),48.46)</f>
        <v>48.46</v>
      </c>
      <c r="D242" s="1">
        <f>IFERROR(__xludf.DUMMYFUNCTION("""COMPUTED_VALUE"""),47.54)</f>
        <v>47.54</v>
      </c>
      <c r="E242" s="1">
        <f>IFERROR(__xludf.DUMMYFUNCTION("""COMPUTED_VALUE"""),48.23)</f>
        <v>48.23</v>
      </c>
      <c r="F242" s="1">
        <f>IFERROR(__xludf.DUMMYFUNCTION("""COMPUTED_VALUE"""),39532.0)</f>
        <v>39532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IFERROR(__xludf.DUMMYFUNCTION("""COMPUTED_VALUE"""),48.25)</f>
        <v>48.25</v>
      </c>
      <c r="C243" s="1">
        <f>IFERROR(__xludf.DUMMYFUNCTION("""COMPUTED_VALUE"""),49.07)</f>
        <v>49.07</v>
      </c>
      <c r="D243" s="1">
        <f>IFERROR(__xludf.DUMMYFUNCTION("""COMPUTED_VALUE"""),47.98)</f>
        <v>47.98</v>
      </c>
      <c r="E243" s="1">
        <f>IFERROR(__xludf.DUMMYFUNCTION("""COMPUTED_VALUE"""),49.0)</f>
        <v>49</v>
      </c>
      <c r="F243" s="1">
        <f>IFERROR(__xludf.DUMMYFUNCTION("""COMPUTED_VALUE"""),37630.0)</f>
        <v>37630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IFERROR(__xludf.DUMMYFUNCTION("""COMPUTED_VALUE"""),48.92)</f>
        <v>48.92</v>
      </c>
      <c r="C244" s="1">
        <f>IFERROR(__xludf.DUMMYFUNCTION("""COMPUTED_VALUE"""),49.42)</f>
        <v>49.42</v>
      </c>
      <c r="D244" s="1">
        <f>IFERROR(__xludf.DUMMYFUNCTION("""COMPUTED_VALUE"""),48.21)</f>
        <v>48.21</v>
      </c>
      <c r="E244" s="1">
        <f>IFERROR(__xludf.DUMMYFUNCTION("""COMPUTED_VALUE"""),49.09)</f>
        <v>49.09</v>
      </c>
      <c r="F244" s="1">
        <f>IFERROR(__xludf.DUMMYFUNCTION("""COMPUTED_VALUE"""),149237.0)</f>
        <v>149237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IFERROR(__xludf.DUMMYFUNCTION("""COMPUTED_VALUE"""),49.05)</f>
        <v>49.05</v>
      </c>
      <c r="C245" s="1">
        <f>IFERROR(__xludf.DUMMYFUNCTION("""COMPUTED_VALUE"""),49.34)</f>
        <v>49.34</v>
      </c>
      <c r="D245" s="1">
        <f>IFERROR(__xludf.DUMMYFUNCTION("""COMPUTED_VALUE"""),48.36)</f>
        <v>48.36</v>
      </c>
      <c r="E245" s="1">
        <f>IFERROR(__xludf.DUMMYFUNCTION("""COMPUTED_VALUE"""),48.69)</f>
        <v>48.69</v>
      </c>
      <c r="F245" s="1">
        <f>IFERROR(__xludf.DUMMYFUNCTION("""COMPUTED_VALUE"""),66517.0)</f>
        <v>66517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IFERROR(__xludf.DUMMYFUNCTION("""COMPUTED_VALUE"""),49.0)</f>
        <v>49</v>
      </c>
      <c r="C246" s="1">
        <f>IFERROR(__xludf.DUMMYFUNCTION("""COMPUTED_VALUE"""),49.22)</f>
        <v>49.22</v>
      </c>
      <c r="D246" s="1">
        <f>IFERROR(__xludf.DUMMYFUNCTION("""COMPUTED_VALUE"""),48.61)</f>
        <v>48.61</v>
      </c>
      <c r="E246" s="1">
        <f>IFERROR(__xludf.DUMMYFUNCTION("""COMPUTED_VALUE"""),48.96)</f>
        <v>48.96</v>
      </c>
      <c r="F246" s="1">
        <f>IFERROR(__xludf.DUMMYFUNCTION("""COMPUTED_VALUE"""),27152.0)</f>
        <v>27152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IFERROR(__xludf.DUMMYFUNCTION("""COMPUTED_VALUE"""),49.12)</f>
        <v>49.12</v>
      </c>
      <c r="C247" s="1">
        <f>IFERROR(__xludf.DUMMYFUNCTION("""COMPUTED_VALUE"""),49.27)</f>
        <v>49.27</v>
      </c>
      <c r="D247" s="1">
        <f>IFERROR(__xludf.DUMMYFUNCTION("""COMPUTED_VALUE"""),48.71)</f>
        <v>48.71</v>
      </c>
      <c r="E247" s="1">
        <f>IFERROR(__xludf.DUMMYFUNCTION("""COMPUTED_VALUE"""),48.83)</f>
        <v>48.83</v>
      </c>
      <c r="F247" s="1">
        <f>IFERROR(__xludf.DUMMYFUNCTION("""COMPUTED_VALUE"""),21181.0)</f>
        <v>21181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IFERROR(__xludf.DUMMYFUNCTION("""COMPUTED_VALUE"""),48.83)</f>
        <v>48.83</v>
      </c>
      <c r="C248" s="1">
        <f>IFERROR(__xludf.DUMMYFUNCTION("""COMPUTED_VALUE"""),49.54)</f>
        <v>49.54</v>
      </c>
      <c r="D248" s="1">
        <f>IFERROR(__xludf.DUMMYFUNCTION("""COMPUTED_VALUE"""),48.66)</f>
        <v>48.66</v>
      </c>
      <c r="E248" s="1">
        <f>IFERROR(__xludf.DUMMYFUNCTION("""COMPUTED_VALUE"""),49.1)</f>
        <v>49.1</v>
      </c>
      <c r="F248" s="1">
        <f>IFERROR(__xludf.DUMMYFUNCTION("""COMPUTED_VALUE"""),48051.0)</f>
        <v>48051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IFERROR(__xludf.DUMMYFUNCTION("""COMPUTED_VALUE"""),49.14)</f>
        <v>49.14</v>
      </c>
      <c r="C249" s="1">
        <f>IFERROR(__xludf.DUMMYFUNCTION("""COMPUTED_VALUE"""),49.41)</f>
        <v>49.41</v>
      </c>
      <c r="D249" s="1">
        <f>IFERROR(__xludf.DUMMYFUNCTION("""COMPUTED_VALUE"""),48.93)</f>
        <v>48.93</v>
      </c>
      <c r="E249" s="1">
        <f>IFERROR(__xludf.DUMMYFUNCTION("""COMPUTED_VALUE"""),49.36)</f>
        <v>49.36</v>
      </c>
      <c r="F249" s="1">
        <f>IFERROR(__xludf.DUMMYFUNCTION("""COMPUTED_VALUE"""),10565.0)</f>
        <v>10565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IFERROR(__xludf.DUMMYFUNCTION("""COMPUTED_VALUE"""),49.59)</f>
        <v>49.59</v>
      </c>
      <c r="C250" s="1">
        <f>IFERROR(__xludf.DUMMYFUNCTION("""COMPUTED_VALUE"""),49.97)</f>
        <v>49.97</v>
      </c>
      <c r="D250" s="1">
        <f>IFERROR(__xludf.DUMMYFUNCTION("""COMPUTED_VALUE"""),49.3)</f>
        <v>49.3</v>
      </c>
      <c r="E250" s="1">
        <f>IFERROR(__xludf.DUMMYFUNCTION("""COMPUTED_VALUE"""),49.87)</f>
        <v>49.87</v>
      </c>
      <c r="F250" s="1">
        <f>IFERROR(__xludf.DUMMYFUNCTION("""COMPUTED_VALUE"""),17790.0)</f>
        <v>17790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IFERROR(__xludf.DUMMYFUNCTION("""COMPUTED_VALUE"""),49.93)</f>
        <v>49.93</v>
      </c>
      <c r="C251" s="1">
        <f>IFERROR(__xludf.DUMMYFUNCTION("""COMPUTED_VALUE"""),49.98)</f>
        <v>49.98</v>
      </c>
      <c r="D251" s="1">
        <f>IFERROR(__xludf.DUMMYFUNCTION("""COMPUTED_VALUE"""),49.82)</f>
        <v>49.82</v>
      </c>
      <c r="E251" s="1">
        <f>IFERROR(__xludf.DUMMYFUNCTION("""COMPUTED_VALUE"""),49.92)</f>
        <v>49.92</v>
      </c>
      <c r="F251" s="1">
        <f>IFERROR(__xludf.DUMMYFUNCTION("""COMPUTED_VALUE"""),8642.0)</f>
        <v>8642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IFERROR(__xludf.DUMMYFUNCTION("""COMPUTED_VALUE"""),49.96)</f>
        <v>49.96</v>
      </c>
      <c r="C252" s="1">
        <f>IFERROR(__xludf.DUMMYFUNCTION("""COMPUTED_VALUE"""),50.25)</f>
        <v>50.25</v>
      </c>
      <c r="D252" s="1">
        <f>IFERROR(__xludf.DUMMYFUNCTION("""COMPUTED_VALUE"""),49.27)</f>
        <v>49.27</v>
      </c>
      <c r="E252" s="1">
        <f>IFERROR(__xludf.DUMMYFUNCTION("""COMPUTED_VALUE"""),49.27)</f>
        <v>49.27</v>
      </c>
      <c r="F252" s="1">
        <f>IFERROR(__xludf.DUMMYFUNCTION("""COMPUTED_VALUE"""),28250.0)</f>
        <v>28250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IFERROR(__xludf.DUMMYFUNCTION("""COMPUTED_VALUE"""),49.22)</f>
        <v>49.22</v>
      </c>
      <c r="C253" s="1">
        <f>IFERROR(__xludf.DUMMYFUNCTION("""COMPUTED_VALUE"""),49.34)</f>
        <v>49.34</v>
      </c>
      <c r="D253" s="1">
        <f>IFERROR(__xludf.DUMMYFUNCTION("""COMPUTED_VALUE"""),48.24)</f>
        <v>48.24</v>
      </c>
      <c r="E253" s="1">
        <f>IFERROR(__xludf.DUMMYFUNCTION("""COMPUTED_VALUE"""),48.24)</f>
        <v>48.24</v>
      </c>
      <c r="F253" s="1">
        <f>IFERROR(__xludf.DUMMYFUNCTION("""COMPUTED_VALUE"""),24129.0)</f>
        <v>24129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IFERROR(__xludf.DUMMYFUNCTION("""COMPUTED_VALUE"""),48.57)</f>
        <v>48.57</v>
      </c>
      <c r="C254" s="1">
        <f>IFERROR(__xludf.DUMMYFUNCTION("""COMPUTED_VALUE"""),49.79)</f>
        <v>49.79</v>
      </c>
      <c r="D254" s="1">
        <f>IFERROR(__xludf.DUMMYFUNCTION("""COMPUTED_VALUE"""),48.16)</f>
        <v>48.16</v>
      </c>
      <c r="E254" s="1">
        <f>IFERROR(__xludf.DUMMYFUNCTION("""COMPUTED_VALUE"""),49.44)</f>
        <v>49.44</v>
      </c>
      <c r="F254" s="1">
        <f>IFERROR(__xludf.DUMMYFUNCTION("""COMPUTED_VALUE"""),93221.0)</f>
        <v>93221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IFERROR(__xludf.DUMMYFUNCTION("""COMPUTED_VALUE"""),49.72)</f>
        <v>49.72</v>
      </c>
      <c r="C255" s="1">
        <f>IFERROR(__xludf.DUMMYFUNCTION("""COMPUTED_VALUE"""),49.72)</f>
        <v>49.72</v>
      </c>
      <c r="D255" s="1">
        <f>IFERROR(__xludf.DUMMYFUNCTION("""COMPUTED_VALUE"""),47.71)</f>
        <v>47.71</v>
      </c>
      <c r="E255" s="1">
        <f>IFERROR(__xludf.DUMMYFUNCTION("""COMPUTED_VALUE"""),47.83)</f>
        <v>47.83</v>
      </c>
      <c r="F255" s="1">
        <f>IFERROR(__xludf.DUMMYFUNCTION("""COMPUTED_VALUE"""),30914.0)</f>
        <v>30914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IFERROR(__xludf.DUMMYFUNCTION("""COMPUTED_VALUE"""),47.97)</f>
        <v>47.97</v>
      </c>
      <c r="C256" s="1">
        <f>IFERROR(__xludf.DUMMYFUNCTION("""COMPUTED_VALUE"""),47.97)</f>
        <v>47.97</v>
      </c>
      <c r="D256" s="1">
        <f>IFERROR(__xludf.DUMMYFUNCTION("""COMPUTED_VALUE"""),46.79)</f>
        <v>46.79</v>
      </c>
      <c r="E256" s="1">
        <f>IFERROR(__xludf.DUMMYFUNCTION("""COMPUTED_VALUE"""),47.5)</f>
        <v>47.5</v>
      </c>
      <c r="F256" s="1">
        <f>IFERROR(__xludf.DUMMYFUNCTION("""COMPUTED_VALUE"""),57682.0)</f>
        <v>57682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IFERROR(__xludf.DUMMYFUNCTION("""COMPUTED_VALUE"""),47.6)</f>
        <v>47.6</v>
      </c>
      <c r="C257" s="1">
        <f>IFERROR(__xludf.DUMMYFUNCTION("""COMPUTED_VALUE"""),47.6)</f>
        <v>47.6</v>
      </c>
      <c r="D257" s="1">
        <f>IFERROR(__xludf.DUMMYFUNCTION("""COMPUTED_VALUE"""),47.03)</f>
        <v>47.03</v>
      </c>
      <c r="E257" s="1">
        <f>IFERROR(__xludf.DUMMYFUNCTION("""COMPUTED_VALUE"""),47.29)</f>
        <v>47.29</v>
      </c>
      <c r="F257" s="1">
        <f>IFERROR(__xludf.DUMMYFUNCTION("""COMPUTED_VALUE"""),30376.0)</f>
        <v>30376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IFERROR(__xludf.DUMMYFUNCTION("""COMPUTED_VALUE"""),47.42)</f>
        <v>47.42</v>
      </c>
      <c r="C258" s="1">
        <f>IFERROR(__xludf.DUMMYFUNCTION("""COMPUTED_VALUE"""),47.54)</f>
        <v>47.54</v>
      </c>
      <c r="D258" s="1">
        <f>IFERROR(__xludf.DUMMYFUNCTION("""COMPUTED_VALUE"""),46.05)</f>
        <v>46.05</v>
      </c>
      <c r="E258" s="1">
        <f>IFERROR(__xludf.DUMMYFUNCTION("""COMPUTED_VALUE"""),47.05)</f>
        <v>47.05</v>
      </c>
      <c r="F258" s="1">
        <f>IFERROR(__xludf.DUMMYFUNCTION("""COMPUTED_VALUE"""),48118.0)</f>
        <v>48118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IFERROR(__xludf.DUMMYFUNCTION("""COMPUTED_VALUE"""),47.0)</f>
        <v>47</v>
      </c>
      <c r="C259" s="1">
        <f>IFERROR(__xludf.DUMMYFUNCTION("""COMPUTED_VALUE"""),47.9)</f>
        <v>47.9</v>
      </c>
      <c r="D259" s="1">
        <f>IFERROR(__xludf.DUMMYFUNCTION("""COMPUTED_VALUE"""),46.63)</f>
        <v>46.63</v>
      </c>
      <c r="E259" s="1">
        <f>IFERROR(__xludf.DUMMYFUNCTION("""COMPUTED_VALUE"""),47.86)</f>
        <v>47.86</v>
      </c>
      <c r="F259" s="1">
        <f>IFERROR(__xludf.DUMMYFUNCTION("""COMPUTED_VALUE"""),39945.0)</f>
        <v>39945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IFERROR(__xludf.DUMMYFUNCTION("""COMPUTED_VALUE"""),47.98)</f>
        <v>47.98</v>
      </c>
      <c r="C260" s="1">
        <f>IFERROR(__xludf.DUMMYFUNCTION("""COMPUTED_VALUE"""),48.84)</f>
        <v>48.84</v>
      </c>
      <c r="D260" s="1">
        <f>IFERROR(__xludf.DUMMYFUNCTION("""COMPUTED_VALUE"""),47.81)</f>
        <v>47.81</v>
      </c>
      <c r="E260" s="1">
        <f>IFERROR(__xludf.DUMMYFUNCTION("""COMPUTED_VALUE"""),48.73)</f>
        <v>48.73</v>
      </c>
      <c r="F260" s="1">
        <f>IFERROR(__xludf.DUMMYFUNCTION("""COMPUTED_VALUE"""),73202.0)</f>
        <v>73202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IFERROR(__xludf.DUMMYFUNCTION("""COMPUTED_VALUE"""),49.18)</f>
        <v>49.18</v>
      </c>
      <c r="C261" s="1">
        <f>IFERROR(__xludf.DUMMYFUNCTION("""COMPUTED_VALUE"""),49.28)</f>
        <v>49.28</v>
      </c>
      <c r="D261" s="1">
        <f>IFERROR(__xludf.DUMMYFUNCTION("""COMPUTED_VALUE"""),48.66)</f>
        <v>48.66</v>
      </c>
      <c r="E261" s="1">
        <f>IFERROR(__xludf.DUMMYFUNCTION("""COMPUTED_VALUE"""),48.9)</f>
        <v>48.9</v>
      </c>
      <c r="F261" s="1">
        <f>IFERROR(__xludf.DUMMYFUNCTION("""COMPUTED_VALUE"""),49056.0)</f>
        <v>49056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IFERROR(__xludf.DUMMYFUNCTION("""COMPUTED_VALUE"""),48.95)</f>
        <v>48.95</v>
      </c>
      <c r="C262" s="1">
        <f>IFERROR(__xludf.DUMMYFUNCTION("""COMPUTED_VALUE"""),49.06)</f>
        <v>49.06</v>
      </c>
      <c r="D262" s="1">
        <f>IFERROR(__xludf.DUMMYFUNCTION("""COMPUTED_VALUE"""),48.42)</f>
        <v>48.42</v>
      </c>
      <c r="E262" s="1">
        <f>IFERROR(__xludf.DUMMYFUNCTION("""COMPUTED_VALUE"""),48.78)</f>
        <v>48.78</v>
      </c>
      <c r="F262" s="1">
        <f>IFERROR(__xludf.DUMMYFUNCTION("""COMPUTED_VALUE"""),32442.0)</f>
        <v>32442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IFERROR(__xludf.DUMMYFUNCTION("""COMPUTED_VALUE"""),48.76)</f>
        <v>48.76</v>
      </c>
      <c r="C263" s="1">
        <f>IFERROR(__xludf.DUMMYFUNCTION("""COMPUTED_VALUE"""),49.22)</f>
        <v>49.22</v>
      </c>
      <c r="D263" s="1">
        <f>IFERROR(__xludf.DUMMYFUNCTION("""COMPUTED_VALUE"""),48.15)</f>
        <v>48.15</v>
      </c>
      <c r="E263" s="1">
        <f>IFERROR(__xludf.DUMMYFUNCTION("""COMPUTED_VALUE"""),48.82)</f>
        <v>48.82</v>
      </c>
      <c r="F263" s="1">
        <f>IFERROR(__xludf.DUMMYFUNCTION("""COMPUTED_VALUE"""),70507.0)</f>
        <v>70507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IFERROR(__xludf.DUMMYFUNCTION("""COMPUTED_VALUE"""),48.47)</f>
        <v>48.47</v>
      </c>
      <c r="C264" s="1">
        <f>IFERROR(__xludf.DUMMYFUNCTION("""COMPUTED_VALUE"""),48.9)</f>
        <v>48.9</v>
      </c>
      <c r="D264" s="1">
        <f>IFERROR(__xludf.DUMMYFUNCTION("""COMPUTED_VALUE"""),48.29)</f>
        <v>48.29</v>
      </c>
      <c r="E264" s="1">
        <f>IFERROR(__xludf.DUMMYFUNCTION("""COMPUTED_VALUE"""),48.8)</f>
        <v>48.8</v>
      </c>
      <c r="F264" s="1">
        <f>IFERROR(__xludf.DUMMYFUNCTION("""COMPUTED_VALUE"""),45383.0)</f>
        <v>45383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IFERROR(__xludf.DUMMYFUNCTION("""COMPUTED_VALUE"""),48.84)</f>
        <v>48.84</v>
      </c>
      <c r="C265" s="1">
        <f>IFERROR(__xludf.DUMMYFUNCTION("""COMPUTED_VALUE"""),48.84)</f>
        <v>48.84</v>
      </c>
      <c r="D265" s="1">
        <f>IFERROR(__xludf.DUMMYFUNCTION("""COMPUTED_VALUE"""),47.69)</f>
        <v>47.69</v>
      </c>
      <c r="E265" s="1">
        <f>IFERROR(__xludf.DUMMYFUNCTION("""COMPUTED_VALUE"""),47.76)</f>
        <v>47.76</v>
      </c>
      <c r="F265" s="1">
        <f>IFERROR(__xludf.DUMMYFUNCTION("""COMPUTED_VALUE"""),49085.0)</f>
        <v>49085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IFERROR(__xludf.DUMMYFUNCTION("""COMPUTED_VALUE"""),47.45)</f>
        <v>47.45</v>
      </c>
      <c r="C266" s="1">
        <f>IFERROR(__xludf.DUMMYFUNCTION("""COMPUTED_VALUE"""),48.0)</f>
        <v>48</v>
      </c>
      <c r="D266" s="1">
        <f>IFERROR(__xludf.DUMMYFUNCTION("""COMPUTED_VALUE"""),47.0)</f>
        <v>47</v>
      </c>
      <c r="E266" s="1">
        <f>IFERROR(__xludf.DUMMYFUNCTION("""COMPUTED_VALUE"""),47.13)</f>
        <v>47.13</v>
      </c>
      <c r="F266" s="1">
        <f>IFERROR(__xludf.DUMMYFUNCTION("""COMPUTED_VALUE"""),54440.0)</f>
        <v>54440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IFERROR(__xludf.DUMMYFUNCTION("""COMPUTED_VALUE"""),46.51)</f>
        <v>46.51</v>
      </c>
      <c r="C267" s="1">
        <f>IFERROR(__xludf.DUMMYFUNCTION("""COMPUTED_VALUE"""),47.33)</f>
        <v>47.33</v>
      </c>
      <c r="D267" s="1">
        <f>IFERROR(__xludf.DUMMYFUNCTION("""COMPUTED_VALUE"""),44.33)</f>
        <v>44.33</v>
      </c>
      <c r="E267" s="1">
        <f>IFERROR(__xludf.DUMMYFUNCTION("""COMPUTED_VALUE"""),44.42)</f>
        <v>44.42</v>
      </c>
      <c r="F267" s="1">
        <f>IFERROR(__xludf.DUMMYFUNCTION("""COMPUTED_VALUE"""),93793.0)</f>
        <v>93793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IFERROR(__xludf.DUMMYFUNCTION("""COMPUTED_VALUE"""),43.57)</f>
        <v>43.57</v>
      </c>
      <c r="C268" s="1">
        <f>IFERROR(__xludf.DUMMYFUNCTION("""COMPUTED_VALUE"""),44.24)</f>
        <v>44.24</v>
      </c>
      <c r="D268" s="1">
        <f>IFERROR(__xludf.DUMMYFUNCTION("""COMPUTED_VALUE"""),43.05)</f>
        <v>43.05</v>
      </c>
      <c r="E268" s="1">
        <f>IFERROR(__xludf.DUMMYFUNCTION("""COMPUTED_VALUE"""),43.89)</f>
        <v>43.89</v>
      </c>
      <c r="F268" s="1">
        <f>IFERROR(__xludf.DUMMYFUNCTION("""COMPUTED_VALUE"""),94643.0)</f>
        <v>94643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IFERROR(__xludf.DUMMYFUNCTION("""COMPUTED_VALUE"""),43.65)</f>
        <v>43.65</v>
      </c>
      <c r="C269" s="1">
        <f>IFERROR(__xludf.DUMMYFUNCTION("""COMPUTED_VALUE"""),44.12)</f>
        <v>44.12</v>
      </c>
      <c r="D269" s="1">
        <f>IFERROR(__xludf.DUMMYFUNCTION("""COMPUTED_VALUE"""),43.33)</f>
        <v>43.33</v>
      </c>
      <c r="E269" s="1">
        <f>IFERROR(__xludf.DUMMYFUNCTION("""COMPUTED_VALUE"""),43.83)</f>
        <v>43.83</v>
      </c>
      <c r="F269" s="1">
        <f>IFERROR(__xludf.DUMMYFUNCTION("""COMPUTED_VALUE"""),67797.0)</f>
        <v>67797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IFERROR(__xludf.DUMMYFUNCTION("""COMPUTED_VALUE"""),44.12)</f>
        <v>44.12</v>
      </c>
      <c r="C270" s="1">
        <f>IFERROR(__xludf.DUMMYFUNCTION("""COMPUTED_VALUE"""),44.12)</f>
        <v>44.12</v>
      </c>
      <c r="D270" s="1">
        <f>IFERROR(__xludf.DUMMYFUNCTION("""COMPUTED_VALUE"""),43.22)</f>
        <v>43.22</v>
      </c>
      <c r="E270" s="1">
        <f>IFERROR(__xludf.DUMMYFUNCTION("""COMPUTED_VALUE"""),43.93)</f>
        <v>43.93</v>
      </c>
      <c r="F270" s="1">
        <f>IFERROR(__xludf.DUMMYFUNCTION("""COMPUTED_VALUE"""),48594.0)</f>
        <v>48594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IFERROR(__xludf.DUMMYFUNCTION("""COMPUTED_VALUE"""),43.98)</f>
        <v>43.98</v>
      </c>
      <c r="C271" s="1">
        <f>IFERROR(__xludf.DUMMYFUNCTION("""COMPUTED_VALUE"""),43.98)</f>
        <v>43.98</v>
      </c>
      <c r="D271" s="1">
        <f>IFERROR(__xludf.DUMMYFUNCTION("""COMPUTED_VALUE"""),43.29)</f>
        <v>43.29</v>
      </c>
      <c r="E271" s="1">
        <f>IFERROR(__xludf.DUMMYFUNCTION("""COMPUTED_VALUE"""),43.51)</f>
        <v>43.51</v>
      </c>
      <c r="F271" s="1">
        <f>IFERROR(__xludf.DUMMYFUNCTION("""COMPUTED_VALUE"""),37629.0)</f>
        <v>37629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IFERROR(__xludf.DUMMYFUNCTION("""COMPUTED_VALUE"""),43.72)</f>
        <v>43.72</v>
      </c>
      <c r="C272" s="1">
        <f>IFERROR(__xludf.DUMMYFUNCTION("""COMPUTED_VALUE"""),43.72)</f>
        <v>43.72</v>
      </c>
      <c r="D272" s="1">
        <f>IFERROR(__xludf.DUMMYFUNCTION("""COMPUTED_VALUE"""),42.42)</f>
        <v>42.42</v>
      </c>
      <c r="E272" s="1">
        <f>IFERROR(__xludf.DUMMYFUNCTION("""COMPUTED_VALUE"""),42.62)</f>
        <v>42.62</v>
      </c>
      <c r="F272" s="1">
        <f>IFERROR(__xludf.DUMMYFUNCTION("""COMPUTED_VALUE"""),85614.0)</f>
        <v>85614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IFERROR(__xludf.DUMMYFUNCTION("""COMPUTED_VALUE"""),43.0)</f>
        <v>43</v>
      </c>
      <c r="C273" s="1">
        <f>IFERROR(__xludf.DUMMYFUNCTION("""COMPUTED_VALUE"""),43.07)</f>
        <v>43.07</v>
      </c>
      <c r="D273" s="1">
        <f>IFERROR(__xludf.DUMMYFUNCTION("""COMPUTED_VALUE"""),41.91)</f>
        <v>41.91</v>
      </c>
      <c r="E273" s="1">
        <f>IFERROR(__xludf.DUMMYFUNCTION("""COMPUTED_VALUE"""),42.47)</f>
        <v>42.47</v>
      </c>
      <c r="F273" s="1">
        <f>IFERROR(__xludf.DUMMYFUNCTION("""COMPUTED_VALUE"""),118201.0)</f>
        <v>118201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IFERROR(__xludf.DUMMYFUNCTION("""COMPUTED_VALUE"""),42.57)</f>
        <v>42.57</v>
      </c>
      <c r="C274" s="1">
        <f>IFERROR(__xludf.DUMMYFUNCTION("""COMPUTED_VALUE"""),43.74)</f>
        <v>43.74</v>
      </c>
      <c r="D274" s="1">
        <f>IFERROR(__xludf.DUMMYFUNCTION("""COMPUTED_VALUE"""),42.52)</f>
        <v>42.52</v>
      </c>
      <c r="E274" s="1">
        <f>IFERROR(__xludf.DUMMYFUNCTION("""COMPUTED_VALUE"""),43.41)</f>
        <v>43.41</v>
      </c>
      <c r="F274" s="1">
        <f>IFERROR(__xludf.DUMMYFUNCTION("""COMPUTED_VALUE"""),113078.0)</f>
        <v>113078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IFERROR(__xludf.DUMMYFUNCTION("""COMPUTED_VALUE"""),43.2)</f>
        <v>43.2</v>
      </c>
      <c r="C275" s="1">
        <f>IFERROR(__xludf.DUMMYFUNCTION("""COMPUTED_VALUE"""),43.69)</f>
        <v>43.69</v>
      </c>
      <c r="D275" s="1">
        <f>IFERROR(__xludf.DUMMYFUNCTION("""COMPUTED_VALUE"""),42.65)</f>
        <v>42.65</v>
      </c>
      <c r="E275" s="1">
        <f>IFERROR(__xludf.DUMMYFUNCTION("""COMPUTED_VALUE"""),43.19)</f>
        <v>43.19</v>
      </c>
      <c r="F275" s="1">
        <f>IFERROR(__xludf.DUMMYFUNCTION("""COMPUTED_VALUE"""),21974.0)</f>
        <v>21974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IFERROR(__xludf.DUMMYFUNCTION("""COMPUTED_VALUE"""),43.21)</f>
        <v>43.21</v>
      </c>
      <c r="C276" s="1">
        <f>IFERROR(__xludf.DUMMYFUNCTION("""COMPUTED_VALUE"""),43.45)</f>
        <v>43.45</v>
      </c>
      <c r="D276" s="1">
        <f>IFERROR(__xludf.DUMMYFUNCTION("""COMPUTED_VALUE"""),42.88)</f>
        <v>42.88</v>
      </c>
      <c r="E276" s="1">
        <f>IFERROR(__xludf.DUMMYFUNCTION("""COMPUTED_VALUE"""),43.28)</f>
        <v>43.28</v>
      </c>
      <c r="F276" s="1">
        <f>IFERROR(__xludf.DUMMYFUNCTION("""COMPUTED_VALUE"""),33176.0)</f>
        <v>33176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IFERROR(__xludf.DUMMYFUNCTION("""COMPUTED_VALUE"""),43.22)</f>
        <v>43.22</v>
      </c>
      <c r="C277" s="1">
        <f>IFERROR(__xludf.DUMMYFUNCTION("""COMPUTED_VALUE"""),43.42)</f>
        <v>43.42</v>
      </c>
      <c r="D277" s="1">
        <f>IFERROR(__xludf.DUMMYFUNCTION("""COMPUTED_VALUE"""),42.68)</f>
        <v>42.68</v>
      </c>
      <c r="E277" s="1">
        <f>IFERROR(__xludf.DUMMYFUNCTION("""COMPUTED_VALUE"""),43.21)</f>
        <v>43.21</v>
      </c>
      <c r="F277" s="1">
        <f>IFERROR(__xludf.DUMMYFUNCTION("""COMPUTED_VALUE"""),105568.0)</f>
        <v>105568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IFERROR(__xludf.DUMMYFUNCTION("""COMPUTED_VALUE"""),43.15)</f>
        <v>43.15</v>
      </c>
      <c r="C278" s="1">
        <f>IFERROR(__xludf.DUMMYFUNCTION("""COMPUTED_VALUE"""),43.6)</f>
        <v>43.6</v>
      </c>
      <c r="D278" s="1">
        <f>IFERROR(__xludf.DUMMYFUNCTION("""COMPUTED_VALUE"""),42.93)</f>
        <v>42.93</v>
      </c>
      <c r="E278" s="1">
        <f>IFERROR(__xludf.DUMMYFUNCTION("""COMPUTED_VALUE"""),43.39)</f>
        <v>43.39</v>
      </c>
      <c r="F278" s="1">
        <f>IFERROR(__xludf.DUMMYFUNCTION("""COMPUTED_VALUE"""),36227.0)</f>
        <v>36227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IFERROR(__xludf.DUMMYFUNCTION("""COMPUTED_VALUE"""),43.29)</f>
        <v>43.29</v>
      </c>
      <c r="C279" s="1">
        <f>IFERROR(__xludf.DUMMYFUNCTION("""COMPUTED_VALUE"""),43.7)</f>
        <v>43.7</v>
      </c>
      <c r="D279" s="1">
        <f>IFERROR(__xludf.DUMMYFUNCTION("""COMPUTED_VALUE"""),42.99)</f>
        <v>42.99</v>
      </c>
      <c r="E279" s="1">
        <f>IFERROR(__xludf.DUMMYFUNCTION("""COMPUTED_VALUE"""),43.7)</f>
        <v>43.7</v>
      </c>
      <c r="F279" s="1">
        <f>IFERROR(__xludf.DUMMYFUNCTION("""COMPUTED_VALUE"""),30948.0)</f>
        <v>30948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IFERROR(__xludf.DUMMYFUNCTION("""COMPUTED_VALUE"""),43.35)</f>
        <v>43.35</v>
      </c>
      <c r="C280" s="1">
        <f>IFERROR(__xludf.DUMMYFUNCTION("""COMPUTED_VALUE"""),43.58)</f>
        <v>43.58</v>
      </c>
      <c r="D280" s="1">
        <f>IFERROR(__xludf.DUMMYFUNCTION("""COMPUTED_VALUE"""),42.91)</f>
        <v>42.91</v>
      </c>
      <c r="E280" s="1">
        <f>IFERROR(__xludf.DUMMYFUNCTION("""COMPUTED_VALUE"""),43.43)</f>
        <v>43.43</v>
      </c>
      <c r="F280" s="1">
        <f>IFERROR(__xludf.DUMMYFUNCTION("""COMPUTED_VALUE"""),35805.0)</f>
        <v>35805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IFERROR(__xludf.DUMMYFUNCTION("""COMPUTED_VALUE"""),43.4)</f>
        <v>43.4</v>
      </c>
      <c r="C281" s="1">
        <f>IFERROR(__xludf.DUMMYFUNCTION("""COMPUTED_VALUE"""),44.02)</f>
        <v>44.02</v>
      </c>
      <c r="D281" s="1">
        <f>IFERROR(__xludf.DUMMYFUNCTION("""COMPUTED_VALUE"""),43.19)</f>
        <v>43.19</v>
      </c>
      <c r="E281" s="1">
        <f>IFERROR(__xludf.DUMMYFUNCTION("""COMPUTED_VALUE"""),43.38)</f>
        <v>43.38</v>
      </c>
      <c r="F281" s="1">
        <f>IFERROR(__xludf.DUMMYFUNCTION("""COMPUTED_VALUE"""),53854.0)</f>
        <v>53854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IFERROR(__xludf.DUMMYFUNCTION("""COMPUTED_VALUE"""),43.27)</f>
        <v>43.27</v>
      </c>
      <c r="C282" s="1">
        <f>IFERROR(__xludf.DUMMYFUNCTION("""COMPUTED_VALUE"""),44.04)</f>
        <v>44.04</v>
      </c>
      <c r="D282" s="1">
        <f>IFERROR(__xludf.DUMMYFUNCTION("""COMPUTED_VALUE"""),43.2)</f>
        <v>43.2</v>
      </c>
      <c r="E282" s="1">
        <f>IFERROR(__xludf.DUMMYFUNCTION("""COMPUTED_VALUE"""),43.92)</f>
        <v>43.92</v>
      </c>
      <c r="F282" s="1">
        <f>IFERROR(__xludf.DUMMYFUNCTION("""COMPUTED_VALUE"""),17758.0)</f>
        <v>17758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IFERROR(__xludf.DUMMYFUNCTION("""COMPUTED_VALUE"""),43.92)</f>
        <v>43.92</v>
      </c>
      <c r="C283" s="1">
        <f>IFERROR(__xludf.DUMMYFUNCTION("""COMPUTED_VALUE"""),44.42)</f>
        <v>44.42</v>
      </c>
      <c r="D283" s="1">
        <f>IFERROR(__xludf.DUMMYFUNCTION("""COMPUTED_VALUE"""),43.92)</f>
        <v>43.92</v>
      </c>
      <c r="E283" s="1">
        <f>IFERROR(__xludf.DUMMYFUNCTION("""COMPUTED_VALUE"""),44.2)</f>
        <v>44.2</v>
      </c>
      <c r="F283" s="1">
        <f>IFERROR(__xludf.DUMMYFUNCTION("""COMPUTED_VALUE"""),52222.0)</f>
        <v>52222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IFERROR(__xludf.DUMMYFUNCTION("""COMPUTED_VALUE"""),44.18)</f>
        <v>44.18</v>
      </c>
      <c r="C284" s="1">
        <f>IFERROR(__xludf.DUMMYFUNCTION("""COMPUTED_VALUE"""),44.64)</f>
        <v>44.64</v>
      </c>
      <c r="D284" s="1">
        <f>IFERROR(__xludf.DUMMYFUNCTION("""COMPUTED_VALUE"""),43.99)</f>
        <v>43.99</v>
      </c>
      <c r="E284" s="1">
        <f>IFERROR(__xludf.DUMMYFUNCTION("""COMPUTED_VALUE"""),44.08)</f>
        <v>44.08</v>
      </c>
      <c r="F284" s="1">
        <f>IFERROR(__xludf.DUMMYFUNCTION("""COMPUTED_VALUE"""),77313.0)</f>
        <v>77313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IFERROR(__xludf.DUMMYFUNCTION("""COMPUTED_VALUE"""),44.17)</f>
        <v>44.17</v>
      </c>
      <c r="C285" s="1">
        <f>IFERROR(__xludf.DUMMYFUNCTION("""COMPUTED_VALUE"""),44.75)</f>
        <v>44.75</v>
      </c>
      <c r="D285" s="1">
        <f>IFERROR(__xludf.DUMMYFUNCTION("""COMPUTED_VALUE"""),44.04)</f>
        <v>44.04</v>
      </c>
      <c r="E285" s="1">
        <f>IFERROR(__xludf.DUMMYFUNCTION("""COMPUTED_VALUE"""),44.67)</f>
        <v>44.67</v>
      </c>
      <c r="F285" s="1">
        <f>IFERROR(__xludf.DUMMYFUNCTION("""COMPUTED_VALUE"""),108288.0)</f>
        <v>108288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IFERROR(__xludf.DUMMYFUNCTION("""COMPUTED_VALUE"""),44.7)</f>
        <v>44.7</v>
      </c>
      <c r="C286" s="1">
        <f>IFERROR(__xludf.DUMMYFUNCTION("""COMPUTED_VALUE"""),45.81)</f>
        <v>45.81</v>
      </c>
      <c r="D286" s="1">
        <f>IFERROR(__xludf.DUMMYFUNCTION("""COMPUTED_VALUE"""),44.54)</f>
        <v>44.54</v>
      </c>
      <c r="E286" s="1">
        <f>IFERROR(__xludf.DUMMYFUNCTION("""COMPUTED_VALUE"""),45.27)</f>
        <v>45.27</v>
      </c>
      <c r="F286" s="1">
        <f>IFERROR(__xludf.DUMMYFUNCTION("""COMPUTED_VALUE"""),55501.0)</f>
        <v>55501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IFERROR(__xludf.DUMMYFUNCTION("""COMPUTED_VALUE"""),45.6)</f>
        <v>45.6</v>
      </c>
      <c r="C287" s="1">
        <f>IFERROR(__xludf.DUMMYFUNCTION("""COMPUTED_VALUE"""),45.91)</f>
        <v>45.91</v>
      </c>
      <c r="D287" s="1">
        <f>IFERROR(__xludf.DUMMYFUNCTION("""COMPUTED_VALUE"""),45.44)</f>
        <v>45.44</v>
      </c>
      <c r="E287" s="1">
        <f>IFERROR(__xludf.DUMMYFUNCTION("""COMPUTED_VALUE"""),45.79)</f>
        <v>45.79</v>
      </c>
      <c r="F287" s="1">
        <f>IFERROR(__xludf.DUMMYFUNCTION("""COMPUTED_VALUE"""),53184.0)</f>
        <v>53184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IFERROR(__xludf.DUMMYFUNCTION("""COMPUTED_VALUE"""),45.43)</f>
        <v>45.43</v>
      </c>
      <c r="C288" s="1">
        <f>IFERROR(__xludf.DUMMYFUNCTION("""COMPUTED_VALUE"""),45.95)</f>
        <v>45.95</v>
      </c>
      <c r="D288" s="1">
        <f>IFERROR(__xludf.DUMMYFUNCTION("""COMPUTED_VALUE"""),45.43)</f>
        <v>45.43</v>
      </c>
      <c r="E288" s="1">
        <f>IFERROR(__xludf.DUMMYFUNCTION("""COMPUTED_VALUE"""),45.82)</f>
        <v>45.82</v>
      </c>
      <c r="F288" s="1">
        <f>IFERROR(__xludf.DUMMYFUNCTION("""COMPUTED_VALUE"""),50678.0)</f>
        <v>50678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IFERROR(__xludf.DUMMYFUNCTION("""COMPUTED_VALUE"""),45.81)</f>
        <v>45.81</v>
      </c>
      <c r="C289" s="1">
        <f>IFERROR(__xludf.DUMMYFUNCTION("""COMPUTED_VALUE"""),45.88)</f>
        <v>45.88</v>
      </c>
      <c r="D289" s="1">
        <f>IFERROR(__xludf.DUMMYFUNCTION("""COMPUTED_VALUE"""),44.52)</f>
        <v>44.52</v>
      </c>
      <c r="E289" s="1">
        <f>IFERROR(__xludf.DUMMYFUNCTION("""COMPUTED_VALUE"""),44.52)</f>
        <v>44.52</v>
      </c>
      <c r="F289" s="1">
        <f>IFERROR(__xludf.DUMMYFUNCTION("""COMPUTED_VALUE"""),79300.0)</f>
        <v>79300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IFERROR(__xludf.DUMMYFUNCTION("""COMPUTED_VALUE"""),44.75)</f>
        <v>44.75</v>
      </c>
      <c r="C290" s="1">
        <f>IFERROR(__xludf.DUMMYFUNCTION("""COMPUTED_VALUE"""),45.58)</f>
        <v>45.58</v>
      </c>
      <c r="D290" s="1">
        <f>IFERROR(__xludf.DUMMYFUNCTION("""COMPUTED_VALUE"""),44.75)</f>
        <v>44.75</v>
      </c>
      <c r="E290" s="1">
        <f>IFERROR(__xludf.DUMMYFUNCTION("""COMPUTED_VALUE"""),45.2)</f>
        <v>45.2</v>
      </c>
      <c r="F290" s="1">
        <f>IFERROR(__xludf.DUMMYFUNCTION("""COMPUTED_VALUE"""),73469.0)</f>
        <v>73469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IFERROR(__xludf.DUMMYFUNCTION("""COMPUTED_VALUE"""),45.14)</f>
        <v>45.14</v>
      </c>
      <c r="C291" s="1">
        <f>IFERROR(__xludf.DUMMYFUNCTION("""COMPUTED_VALUE"""),46.59)</f>
        <v>46.59</v>
      </c>
      <c r="D291" s="1">
        <f>IFERROR(__xludf.DUMMYFUNCTION("""COMPUTED_VALUE"""),44.97)</f>
        <v>44.97</v>
      </c>
      <c r="E291" s="1">
        <f>IFERROR(__xludf.DUMMYFUNCTION("""COMPUTED_VALUE"""),45.89)</f>
        <v>45.89</v>
      </c>
      <c r="F291" s="1">
        <f>IFERROR(__xludf.DUMMYFUNCTION("""COMPUTED_VALUE"""),103525.0)</f>
        <v>103525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IFERROR(__xludf.DUMMYFUNCTION("""COMPUTED_VALUE"""),45.78)</f>
        <v>45.78</v>
      </c>
      <c r="C292" s="1">
        <f>IFERROR(__xludf.DUMMYFUNCTION("""COMPUTED_VALUE"""),45.78)</f>
        <v>45.78</v>
      </c>
      <c r="D292" s="1">
        <f>IFERROR(__xludf.DUMMYFUNCTION("""COMPUTED_VALUE"""),43.48)</f>
        <v>43.48</v>
      </c>
      <c r="E292" s="1">
        <f>IFERROR(__xludf.DUMMYFUNCTION("""COMPUTED_VALUE"""),43.97)</f>
        <v>43.97</v>
      </c>
      <c r="F292" s="1">
        <f>IFERROR(__xludf.DUMMYFUNCTION("""COMPUTED_VALUE"""),183801.0)</f>
        <v>183801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IFERROR(__xludf.DUMMYFUNCTION("""COMPUTED_VALUE"""),43.98)</f>
        <v>43.98</v>
      </c>
      <c r="C293" s="1">
        <f>IFERROR(__xludf.DUMMYFUNCTION("""COMPUTED_VALUE"""),44.08)</f>
        <v>44.08</v>
      </c>
      <c r="D293" s="1">
        <f>IFERROR(__xludf.DUMMYFUNCTION("""COMPUTED_VALUE"""),43.12)</f>
        <v>43.12</v>
      </c>
      <c r="E293" s="1">
        <f>IFERROR(__xludf.DUMMYFUNCTION("""COMPUTED_VALUE"""),43.5)</f>
        <v>43.5</v>
      </c>
      <c r="F293" s="1">
        <f>IFERROR(__xludf.DUMMYFUNCTION("""COMPUTED_VALUE"""),181247.0)</f>
        <v>181247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IFERROR(__xludf.DUMMYFUNCTION("""COMPUTED_VALUE"""),43.38)</f>
        <v>43.38</v>
      </c>
      <c r="C294" s="1">
        <f>IFERROR(__xludf.DUMMYFUNCTION("""COMPUTED_VALUE"""),43.78)</f>
        <v>43.78</v>
      </c>
      <c r="D294" s="1">
        <f>IFERROR(__xludf.DUMMYFUNCTION("""COMPUTED_VALUE"""),43.15)</f>
        <v>43.15</v>
      </c>
      <c r="E294" s="1">
        <f>IFERROR(__xludf.DUMMYFUNCTION("""COMPUTED_VALUE"""),43.56)</f>
        <v>43.56</v>
      </c>
      <c r="F294" s="1">
        <f>IFERROR(__xludf.DUMMYFUNCTION("""COMPUTED_VALUE"""),50738.0)</f>
        <v>50738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IFERROR(__xludf.DUMMYFUNCTION("""COMPUTED_VALUE"""),43.95)</f>
        <v>43.95</v>
      </c>
      <c r="C295" s="1">
        <f>IFERROR(__xludf.DUMMYFUNCTION("""COMPUTED_VALUE"""),44.98)</f>
        <v>44.98</v>
      </c>
      <c r="D295" s="1">
        <f>IFERROR(__xludf.DUMMYFUNCTION("""COMPUTED_VALUE"""),43.73)</f>
        <v>43.73</v>
      </c>
      <c r="E295" s="1">
        <f>IFERROR(__xludf.DUMMYFUNCTION("""COMPUTED_VALUE"""),44.36)</f>
        <v>44.36</v>
      </c>
      <c r="F295" s="1">
        <f>IFERROR(__xludf.DUMMYFUNCTION("""COMPUTED_VALUE"""),136577.0)</f>
        <v>136577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IFERROR(__xludf.DUMMYFUNCTION("""COMPUTED_VALUE"""),44.25)</f>
        <v>44.25</v>
      </c>
      <c r="C296" s="1">
        <f>IFERROR(__xludf.DUMMYFUNCTION("""COMPUTED_VALUE"""),44.45)</f>
        <v>44.45</v>
      </c>
      <c r="D296" s="1">
        <f>IFERROR(__xludf.DUMMYFUNCTION("""COMPUTED_VALUE"""),43.84)</f>
        <v>43.84</v>
      </c>
      <c r="E296" s="1">
        <f>IFERROR(__xludf.DUMMYFUNCTION("""COMPUTED_VALUE"""),44.45)</f>
        <v>44.45</v>
      </c>
      <c r="F296" s="1">
        <f>IFERROR(__xludf.DUMMYFUNCTION("""COMPUTED_VALUE"""),40798.0)</f>
        <v>40798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IFERROR(__xludf.DUMMYFUNCTION("""COMPUTED_VALUE"""),44.41)</f>
        <v>44.41</v>
      </c>
      <c r="C297" s="1">
        <f>IFERROR(__xludf.DUMMYFUNCTION("""COMPUTED_VALUE"""),44.79)</f>
        <v>44.79</v>
      </c>
      <c r="D297" s="1">
        <f>IFERROR(__xludf.DUMMYFUNCTION("""COMPUTED_VALUE"""),43.55)</f>
        <v>43.55</v>
      </c>
      <c r="E297" s="1">
        <f>IFERROR(__xludf.DUMMYFUNCTION("""COMPUTED_VALUE"""),44.0)</f>
        <v>44</v>
      </c>
      <c r="F297" s="1">
        <f>IFERROR(__xludf.DUMMYFUNCTION("""COMPUTED_VALUE"""),38621.0)</f>
        <v>38621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IFERROR(__xludf.DUMMYFUNCTION("""COMPUTED_VALUE"""),43.9)</f>
        <v>43.9</v>
      </c>
      <c r="C298" s="1">
        <f>IFERROR(__xludf.DUMMYFUNCTION("""COMPUTED_VALUE"""),45.12)</f>
        <v>45.12</v>
      </c>
      <c r="D298" s="1">
        <f>IFERROR(__xludf.DUMMYFUNCTION("""COMPUTED_VALUE"""),43.46)</f>
        <v>43.46</v>
      </c>
      <c r="E298" s="1">
        <f>IFERROR(__xludf.DUMMYFUNCTION("""COMPUTED_VALUE"""),45.04)</f>
        <v>45.04</v>
      </c>
      <c r="F298" s="1">
        <f>IFERROR(__xludf.DUMMYFUNCTION("""COMPUTED_VALUE"""),118430.0)</f>
        <v>118430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IFERROR(__xludf.DUMMYFUNCTION("""COMPUTED_VALUE"""),44.71)</f>
        <v>44.71</v>
      </c>
      <c r="C299" s="1">
        <f>IFERROR(__xludf.DUMMYFUNCTION("""COMPUTED_VALUE"""),45.44)</f>
        <v>45.44</v>
      </c>
      <c r="D299" s="1">
        <f>IFERROR(__xludf.DUMMYFUNCTION("""COMPUTED_VALUE"""),44.23)</f>
        <v>44.23</v>
      </c>
      <c r="E299" s="1">
        <f>IFERROR(__xludf.DUMMYFUNCTION("""COMPUTED_VALUE"""),45.13)</f>
        <v>45.13</v>
      </c>
      <c r="F299" s="1">
        <f>IFERROR(__xludf.DUMMYFUNCTION("""COMPUTED_VALUE"""),43264.0)</f>
        <v>43264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IFERROR(__xludf.DUMMYFUNCTION("""COMPUTED_VALUE"""),44.55)</f>
        <v>44.55</v>
      </c>
      <c r="C300" s="1">
        <f>IFERROR(__xludf.DUMMYFUNCTION("""COMPUTED_VALUE"""),44.82)</f>
        <v>44.82</v>
      </c>
      <c r="D300" s="1">
        <f>IFERROR(__xludf.DUMMYFUNCTION("""COMPUTED_VALUE"""),44.14)</f>
        <v>44.14</v>
      </c>
      <c r="E300" s="1">
        <f>IFERROR(__xludf.DUMMYFUNCTION("""COMPUTED_VALUE"""),44.32)</f>
        <v>44.32</v>
      </c>
      <c r="F300" s="1">
        <f>IFERROR(__xludf.DUMMYFUNCTION("""COMPUTED_VALUE"""),44718.0)</f>
        <v>44718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IFERROR(__xludf.DUMMYFUNCTION("""COMPUTED_VALUE"""),44.21)</f>
        <v>44.21</v>
      </c>
      <c r="C301" s="1">
        <f>IFERROR(__xludf.DUMMYFUNCTION("""COMPUTED_VALUE"""),44.33)</f>
        <v>44.33</v>
      </c>
      <c r="D301" s="1">
        <f>IFERROR(__xludf.DUMMYFUNCTION("""COMPUTED_VALUE"""),43.51)</f>
        <v>43.51</v>
      </c>
      <c r="E301" s="1">
        <f>IFERROR(__xludf.DUMMYFUNCTION("""COMPUTED_VALUE"""),43.7)</f>
        <v>43.7</v>
      </c>
      <c r="F301" s="1">
        <f>IFERROR(__xludf.DUMMYFUNCTION("""COMPUTED_VALUE"""),35180.0)</f>
        <v>35180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IFERROR(__xludf.DUMMYFUNCTION("""COMPUTED_VALUE"""),43.2)</f>
        <v>43.2</v>
      </c>
      <c r="C302" s="1">
        <f>IFERROR(__xludf.DUMMYFUNCTION("""COMPUTED_VALUE"""),44.47)</f>
        <v>44.47</v>
      </c>
      <c r="D302" s="1">
        <f>IFERROR(__xludf.DUMMYFUNCTION("""COMPUTED_VALUE"""),43.2)</f>
        <v>43.2</v>
      </c>
      <c r="E302" s="1">
        <f>IFERROR(__xludf.DUMMYFUNCTION("""COMPUTED_VALUE"""),44.09)</f>
        <v>44.09</v>
      </c>
      <c r="F302" s="1">
        <f>IFERROR(__xludf.DUMMYFUNCTION("""COMPUTED_VALUE"""),47778.0)</f>
        <v>47778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IFERROR(__xludf.DUMMYFUNCTION("""COMPUTED_VALUE"""),43.04)</f>
        <v>43.04</v>
      </c>
      <c r="C303" s="1">
        <f>IFERROR(__xludf.DUMMYFUNCTION("""COMPUTED_VALUE"""),44.14)</f>
        <v>44.14</v>
      </c>
      <c r="D303" s="1">
        <f>IFERROR(__xludf.DUMMYFUNCTION("""COMPUTED_VALUE"""),43.04)</f>
        <v>43.04</v>
      </c>
      <c r="E303" s="1">
        <f>IFERROR(__xludf.DUMMYFUNCTION("""COMPUTED_VALUE"""),43.85)</f>
        <v>43.85</v>
      </c>
      <c r="F303" s="1">
        <f>IFERROR(__xludf.DUMMYFUNCTION("""COMPUTED_VALUE"""),31608.0)</f>
        <v>31608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IFERROR(__xludf.DUMMYFUNCTION("""COMPUTED_VALUE"""),43.66)</f>
        <v>43.66</v>
      </c>
      <c r="C304" s="1">
        <f>IFERROR(__xludf.DUMMYFUNCTION("""COMPUTED_VALUE"""),44.04)</f>
        <v>44.04</v>
      </c>
      <c r="D304" s="1">
        <f>IFERROR(__xludf.DUMMYFUNCTION("""COMPUTED_VALUE"""),43.18)</f>
        <v>43.18</v>
      </c>
      <c r="E304" s="1">
        <f>IFERROR(__xludf.DUMMYFUNCTION("""COMPUTED_VALUE"""),43.44)</f>
        <v>43.44</v>
      </c>
      <c r="F304" s="1">
        <f>IFERROR(__xludf.DUMMYFUNCTION("""COMPUTED_VALUE"""),49916.0)</f>
        <v>49916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IFERROR(__xludf.DUMMYFUNCTION("""COMPUTED_VALUE"""),44.19)</f>
        <v>44.19</v>
      </c>
      <c r="C305" s="1">
        <f>IFERROR(__xludf.DUMMYFUNCTION("""COMPUTED_VALUE"""),44.19)</f>
        <v>44.19</v>
      </c>
      <c r="D305" s="1">
        <f>IFERROR(__xludf.DUMMYFUNCTION("""COMPUTED_VALUE"""),43.34)</f>
        <v>43.34</v>
      </c>
      <c r="E305" s="1">
        <f>IFERROR(__xludf.DUMMYFUNCTION("""COMPUTED_VALUE"""),43.47)</f>
        <v>43.47</v>
      </c>
      <c r="F305" s="1">
        <f>IFERROR(__xludf.DUMMYFUNCTION("""COMPUTED_VALUE"""),53934.0)</f>
        <v>53934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IFERROR(__xludf.DUMMYFUNCTION("""COMPUTED_VALUE"""),43.68)</f>
        <v>43.68</v>
      </c>
      <c r="C306" s="1">
        <f>IFERROR(__xludf.DUMMYFUNCTION("""COMPUTED_VALUE"""),44.73)</f>
        <v>44.73</v>
      </c>
      <c r="D306" s="1">
        <f>IFERROR(__xludf.DUMMYFUNCTION("""COMPUTED_VALUE"""),43.46)</f>
        <v>43.46</v>
      </c>
      <c r="E306" s="1">
        <f>IFERROR(__xludf.DUMMYFUNCTION("""COMPUTED_VALUE"""),44.73)</f>
        <v>44.73</v>
      </c>
      <c r="F306" s="1">
        <f>IFERROR(__xludf.DUMMYFUNCTION("""COMPUTED_VALUE"""),69933.0)</f>
        <v>69933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IFERROR(__xludf.DUMMYFUNCTION("""COMPUTED_VALUE"""),45.0)</f>
        <v>45</v>
      </c>
      <c r="C307" s="1">
        <f>IFERROR(__xludf.DUMMYFUNCTION("""COMPUTED_VALUE"""),45.68)</f>
        <v>45.68</v>
      </c>
      <c r="D307" s="1">
        <f>IFERROR(__xludf.DUMMYFUNCTION("""COMPUTED_VALUE"""),45.0)</f>
        <v>45</v>
      </c>
      <c r="E307" s="1">
        <f>IFERROR(__xludf.DUMMYFUNCTION("""COMPUTED_VALUE"""),45.68)</f>
        <v>45.68</v>
      </c>
      <c r="F307" s="1">
        <f>IFERROR(__xludf.DUMMYFUNCTION("""COMPUTED_VALUE"""),26243.0)</f>
        <v>26243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IFERROR(__xludf.DUMMYFUNCTION("""COMPUTED_VALUE"""),45.69)</f>
        <v>45.69</v>
      </c>
      <c r="C308" s="1">
        <f>IFERROR(__xludf.DUMMYFUNCTION("""COMPUTED_VALUE"""),46.19)</f>
        <v>46.19</v>
      </c>
      <c r="D308" s="1">
        <f>IFERROR(__xludf.DUMMYFUNCTION("""COMPUTED_VALUE"""),45.5)</f>
        <v>45.5</v>
      </c>
      <c r="E308" s="1">
        <f>IFERROR(__xludf.DUMMYFUNCTION("""COMPUTED_VALUE"""),45.99)</f>
        <v>45.99</v>
      </c>
      <c r="F308" s="1">
        <f>IFERROR(__xludf.DUMMYFUNCTION("""COMPUTED_VALUE"""),25591.0)</f>
        <v>25591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IFERROR(__xludf.DUMMYFUNCTION("""COMPUTED_VALUE"""),45.89)</f>
        <v>45.89</v>
      </c>
      <c r="C309" s="1">
        <f>IFERROR(__xludf.DUMMYFUNCTION("""COMPUTED_VALUE"""),47.05)</f>
        <v>47.05</v>
      </c>
      <c r="D309" s="1">
        <f>IFERROR(__xludf.DUMMYFUNCTION("""COMPUTED_VALUE"""),45.69)</f>
        <v>45.69</v>
      </c>
      <c r="E309" s="1">
        <f>IFERROR(__xludf.DUMMYFUNCTION("""COMPUTED_VALUE"""),46.3)</f>
        <v>46.3</v>
      </c>
      <c r="F309" s="1">
        <f>IFERROR(__xludf.DUMMYFUNCTION("""COMPUTED_VALUE"""),90259.0)</f>
        <v>90259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IFERROR(__xludf.DUMMYFUNCTION("""COMPUTED_VALUE"""),46.92)</f>
        <v>46.92</v>
      </c>
      <c r="C310" s="1">
        <f>IFERROR(__xludf.DUMMYFUNCTION("""COMPUTED_VALUE"""),47.06)</f>
        <v>47.06</v>
      </c>
      <c r="D310" s="1">
        <f>IFERROR(__xludf.DUMMYFUNCTION("""COMPUTED_VALUE"""),46.55)</f>
        <v>46.55</v>
      </c>
      <c r="E310" s="1">
        <f>IFERROR(__xludf.DUMMYFUNCTION("""COMPUTED_VALUE"""),46.86)</f>
        <v>46.86</v>
      </c>
      <c r="F310" s="1">
        <f>IFERROR(__xludf.DUMMYFUNCTION("""COMPUTED_VALUE"""),47136.0)</f>
        <v>47136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IFERROR(__xludf.DUMMYFUNCTION("""COMPUTED_VALUE"""),46.93)</f>
        <v>46.93</v>
      </c>
      <c r="C311" s="1">
        <f>IFERROR(__xludf.DUMMYFUNCTION("""COMPUTED_VALUE"""),47.1)</f>
        <v>47.1</v>
      </c>
      <c r="D311" s="1">
        <f>IFERROR(__xludf.DUMMYFUNCTION("""COMPUTED_VALUE"""),45.82)</f>
        <v>45.82</v>
      </c>
      <c r="E311" s="1">
        <f>IFERROR(__xludf.DUMMYFUNCTION("""COMPUTED_VALUE"""),45.91)</f>
        <v>45.91</v>
      </c>
      <c r="F311" s="1">
        <f>IFERROR(__xludf.DUMMYFUNCTION("""COMPUTED_VALUE"""),51962.0)</f>
        <v>51962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IFERROR(__xludf.DUMMYFUNCTION("""COMPUTED_VALUE"""),46.02)</f>
        <v>46.02</v>
      </c>
      <c r="C312" s="1">
        <f>IFERROR(__xludf.DUMMYFUNCTION("""COMPUTED_VALUE"""),46.57)</f>
        <v>46.57</v>
      </c>
      <c r="D312" s="1">
        <f>IFERROR(__xludf.DUMMYFUNCTION("""COMPUTED_VALUE"""),45.55)</f>
        <v>45.55</v>
      </c>
      <c r="E312" s="1">
        <f>IFERROR(__xludf.DUMMYFUNCTION("""COMPUTED_VALUE"""),45.73)</f>
        <v>45.73</v>
      </c>
      <c r="F312" s="1">
        <f>IFERROR(__xludf.DUMMYFUNCTION("""COMPUTED_VALUE"""),65181.0)</f>
        <v>65181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IFERROR(__xludf.DUMMYFUNCTION("""COMPUTED_VALUE"""),45.8)</f>
        <v>45.8</v>
      </c>
      <c r="C313" s="1">
        <f>IFERROR(__xludf.DUMMYFUNCTION("""COMPUTED_VALUE"""),46.66)</f>
        <v>46.66</v>
      </c>
      <c r="D313" s="1">
        <f>IFERROR(__xludf.DUMMYFUNCTION("""COMPUTED_VALUE"""),45.8)</f>
        <v>45.8</v>
      </c>
      <c r="E313" s="1">
        <f>IFERROR(__xludf.DUMMYFUNCTION("""COMPUTED_VALUE"""),46.33)</f>
        <v>46.33</v>
      </c>
      <c r="F313" s="1">
        <f>IFERROR(__xludf.DUMMYFUNCTION("""COMPUTED_VALUE"""),24700.0)</f>
        <v>24700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IFERROR(__xludf.DUMMYFUNCTION("""COMPUTED_VALUE"""),46.28)</f>
        <v>46.28</v>
      </c>
      <c r="C314" s="1">
        <f>IFERROR(__xludf.DUMMYFUNCTION("""COMPUTED_VALUE"""),46.98)</f>
        <v>46.98</v>
      </c>
      <c r="D314" s="1">
        <f>IFERROR(__xludf.DUMMYFUNCTION("""COMPUTED_VALUE"""),46.03)</f>
        <v>46.03</v>
      </c>
      <c r="E314" s="1">
        <f>IFERROR(__xludf.DUMMYFUNCTION("""COMPUTED_VALUE"""),46.69)</f>
        <v>46.69</v>
      </c>
      <c r="F314" s="1">
        <f>IFERROR(__xludf.DUMMYFUNCTION("""COMPUTED_VALUE"""),32241.0)</f>
        <v>32241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IFERROR(__xludf.DUMMYFUNCTION("""COMPUTED_VALUE"""),46.65)</f>
        <v>46.65</v>
      </c>
      <c r="C315" s="1">
        <f>IFERROR(__xludf.DUMMYFUNCTION("""COMPUTED_VALUE"""),47.2)</f>
        <v>47.2</v>
      </c>
      <c r="D315" s="1">
        <f>IFERROR(__xludf.DUMMYFUNCTION("""COMPUTED_VALUE"""),46.46)</f>
        <v>46.46</v>
      </c>
      <c r="E315" s="1">
        <f>IFERROR(__xludf.DUMMYFUNCTION("""COMPUTED_VALUE"""),47.07)</f>
        <v>47.07</v>
      </c>
      <c r="F315" s="1">
        <f>IFERROR(__xludf.DUMMYFUNCTION("""COMPUTED_VALUE"""),33399.0)</f>
        <v>33399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IFERROR(__xludf.DUMMYFUNCTION("""COMPUTED_VALUE"""),47.18)</f>
        <v>47.18</v>
      </c>
      <c r="C316" s="1">
        <f>IFERROR(__xludf.DUMMYFUNCTION("""COMPUTED_VALUE"""),48.18)</f>
        <v>48.18</v>
      </c>
      <c r="D316" s="1">
        <f>IFERROR(__xludf.DUMMYFUNCTION("""COMPUTED_VALUE"""),46.84)</f>
        <v>46.84</v>
      </c>
      <c r="E316" s="1">
        <f>IFERROR(__xludf.DUMMYFUNCTION("""COMPUTED_VALUE"""),47.66)</f>
        <v>47.66</v>
      </c>
      <c r="F316" s="1">
        <f>IFERROR(__xludf.DUMMYFUNCTION("""COMPUTED_VALUE"""),27758.0)</f>
        <v>27758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IFERROR(__xludf.DUMMYFUNCTION("""COMPUTED_VALUE"""),47.85)</f>
        <v>47.85</v>
      </c>
      <c r="C317" s="1">
        <f>IFERROR(__xludf.DUMMYFUNCTION("""COMPUTED_VALUE"""),48.41)</f>
        <v>48.41</v>
      </c>
      <c r="D317" s="1">
        <f>IFERROR(__xludf.DUMMYFUNCTION("""COMPUTED_VALUE"""),47.85)</f>
        <v>47.85</v>
      </c>
      <c r="E317" s="1">
        <f>IFERROR(__xludf.DUMMYFUNCTION("""COMPUTED_VALUE"""),48.24)</f>
        <v>48.24</v>
      </c>
      <c r="F317" s="1">
        <f>IFERROR(__xludf.DUMMYFUNCTION("""COMPUTED_VALUE"""),23413.0)</f>
        <v>23413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IFERROR(__xludf.DUMMYFUNCTION("""COMPUTED_VALUE"""),48.1)</f>
        <v>48.1</v>
      </c>
      <c r="C318" s="1">
        <f>IFERROR(__xludf.DUMMYFUNCTION("""COMPUTED_VALUE"""),48.76)</f>
        <v>48.76</v>
      </c>
      <c r="D318" s="1">
        <f>IFERROR(__xludf.DUMMYFUNCTION("""COMPUTED_VALUE"""),47.98)</f>
        <v>47.98</v>
      </c>
      <c r="E318" s="1">
        <f>IFERROR(__xludf.DUMMYFUNCTION("""COMPUTED_VALUE"""),48.4)</f>
        <v>48.4</v>
      </c>
      <c r="F318" s="1">
        <f>IFERROR(__xludf.DUMMYFUNCTION("""COMPUTED_VALUE"""),34698.0)</f>
        <v>34698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IFERROR(__xludf.DUMMYFUNCTION("""COMPUTED_VALUE"""),48.68)</f>
        <v>48.68</v>
      </c>
      <c r="C319" s="1">
        <f>IFERROR(__xludf.DUMMYFUNCTION("""COMPUTED_VALUE"""),48.76)</f>
        <v>48.76</v>
      </c>
      <c r="D319" s="1">
        <f>IFERROR(__xludf.DUMMYFUNCTION("""COMPUTED_VALUE"""),47.92)</f>
        <v>47.92</v>
      </c>
      <c r="E319" s="1">
        <f>IFERROR(__xludf.DUMMYFUNCTION("""COMPUTED_VALUE"""),48.38)</f>
        <v>48.38</v>
      </c>
      <c r="F319" s="1">
        <f>IFERROR(__xludf.DUMMYFUNCTION("""COMPUTED_VALUE"""),17138.0)</f>
        <v>17138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IFERROR(__xludf.DUMMYFUNCTION("""COMPUTED_VALUE"""),48.5)</f>
        <v>48.5</v>
      </c>
      <c r="C320" s="1">
        <f>IFERROR(__xludf.DUMMYFUNCTION("""COMPUTED_VALUE"""),48.5)</f>
        <v>48.5</v>
      </c>
      <c r="D320" s="1">
        <f>IFERROR(__xludf.DUMMYFUNCTION("""COMPUTED_VALUE"""),47.65)</f>
        <v>47.65</v>
      </c>
      <c r="E320" s="1">
        <f>IFERROR(__xludf.DUMMYFUNCTION("""COMPUTED_VALUE"""),48.02)</f>
        <v>48.02</v>
      </c>
      <c r="F320" s="1">
        <f>IFERROR(__xludf.DUMMYFUNCTION("""COMPUTED_VALUE"""),30084.0)</f>
        <v>30084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IFERROR(__xludf.DUMMYFUNCTION("""COMPUTED_VALUE"""),48.46)</f>
        <v>48.46</v>
      </c>
      <c r="C321" s="1">
        <f>IFERROR(__xludf.DUMMYFUNCTION("""COMPUTED_VALUE"""),48.54)</f>
        <v>48.54</v>
      </c>
      <c r="D321" s="1">
        <f>IFERROR(__xludf.DUMMYFUNCTION("""COMPUTED_VALUE"""),47.35)</f>
        <v>47.35</v>
      </c>
      <c r="E321" s="1">
        <f>IFERROR(__xludf.DUMMYFUNCTION("""COMPUTED_VALUE"""),47.35)</f>
        <v>47.35</v>
      </c>
      <c r="F321" s="1">
        <f>IFERROR(__xludf.DUMMYFUNCTION("""COMPUTED_VALUE"""),42721.0)</f>
        <v>42721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IFERROR(__xludf.DUMMYFUNCTION("""COMPUTED_VALUE"""),47.47)</f>
        <v>47.47</v>
      </c>
      <c r="C322" s="1">
        <f>IFERROR(__xludf.DUMMYFUNCTION("""COMPUTED_VALUE"""),47.47)</f>
        <v>47.47</v>
      </c>
      <c r="D322" s="1">
        <f>IFERROR(__xludf.DUMMYFUNCTION("""COMPUTED_VALUE"""),46.88)</f>
        <v>46.88</v>
      </c>
      <c r="E322" s="1">
        <f>IFERROR(__xludf.DUMMYFUNCTION("""COMPUTED_VALUE"""),46.97)</f>
        <v>46.97</v>
      </c>
      <c r="F322" s="1">
        <f>IFERROR(__xludf.DUMMYFUNCTION("""COMPUTED_VALUE"""),37114.0)</f>
        <v>37114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IFERROR(__xludf.DUMMYFUNCTION("""COMPUTED_VALUE"""),46.65)</f>
        <v>46.65</v>
      </c>
      <c r="C323" s="1">
        <f>IFERROR(__xludf.DUMMYFUNCTION("""COMPUTED_VALUE"""),47.07)</f>
        <v>47.07</v>
      </c>
      <c r="D323" s="1">
        <f>IFERROR(__xludf.DUMMYFUNCTION("""COMPUTED_VALUE"""),46.12)</f>
        <v>46.12</v>
      </c>
      <c r="E323" s="1">
        <f>IFERROR(__xludf.DUMMYFUNCTION("""COMPUTED_VALUE"""),46.38)</f>
        <v>46.38</v>
      </c>
      <c r="F323" s="1">
        <f>IFERROR(__xludf.DUMMYFUNCTION("""COMPUTED_VALUE"""),29377.0)</f>
        <v>29377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IFERROR(__xludf.DUMMYFUNCTION("""COMPUTED_VALUE"""),46.47)</f>
        <v>46.47</v>
      </c>
      <c r="C324" s="1">
        <f>IFERROR(__xludf.DUMMYFUNCTION("""COMPUTED_VALUE"""),46.77)</f>
        <v>46.77</v>
      </c>
      <c r="D324" s="1">
        <f>IFERROR(__xludf.DUMMYFUNCTION("""COMPUTED_VALUE"""),45.99)</f>
        <v>45.99</v>
      </c>
      <c r="E324" s="1">
        <f>IFERROR(__xludf.DUMMYFUNCTION("""COMPUTED_VALUE"""),46.53)</f>
        <v>46.53</v>
      </c>
      <c r="F324" s="1">
        <f>IFERROR(__xludf.DUMMYFUNCTION("""COMPUTED_VALUE"""),60187.0)</f>
        <v>60187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IFERROR(__xludf.DUMMYFUNCTION("""COMPUTED_VALUE"""),46.09)</f>
        <v>46.09</v>
      </c>
      <c r="C325" s="1">
        <f>IFERROR(__xludf.DUMMYFUNCTION("""COMPUTED_VALUE"""),47.05)</f>
        <v>47.05</v>
      </c>
      <c r="D325" s="1">
        <f>IFERROR(__xludf.DUMMYFUNCTION("""COMPUTED_VALUE"""),46.04)</f>
        <v>46.04</v>
      </c>
      <c r="E325" s="1">
        <f>IFERROR(__xludf.DUMMYFUNCTION("""COMPUTED_VALUE"""),46.92)</f>
        <v>46.92</v>
      </c>
      <c r="F325" s="1">
        <f>IFERROR(__xludf.DUMMYFUNCTION("""COMPUTED_VALUE"""),51853.0)</f>
        <v>51853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IFERROR(__xludf.DUMMYFUNCTION("""COMPUTED_VALUE"""),46.76)</f>
        <v>46.76</v>
      </c>
      <c r="C326" s="1">
        <f>IFERROR(__xludf.DUMMYFUNCTION("""COMPUTED_VALUE"""),47.76)</f>
        <v>47.76</v>
      </c>
      <c r="D326" s="1">
        <f>IFERROR(__xludf.DUMMYFUNCTION("""COMPUTED_VALUE"""),46.76)</f>
        <v>46.76</v>
      </c>
      <c r="E326" s="1">
        <f>IFERROR(__xludf.DUMMYFUNCTION("""COMPUTED_VALUE"""),47.6)</f>
        <v>47.6</v>
      </c>
      <c r="F326" s="1">
        <f>IFERROR(__xludf.DUMMYFUNCTION("""COMPUTED_VALUE"""),70423.0)</f>
        <v>70423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IFERROR(__xludf.DUMMYFUNCTION("""COMPUTED_VALUE"""),46.93)</f>
        <v>46.93</v>
      </c>
      <c r="C327" s="1">
        <f>IFERROR(__xludf.DUMMYFUNCTION("""COMPUTED_VALUE"""),47.23)</f>
        <v>47.23</v>
      </c>
      <c r="D327" s="1">
        <f>IFERROR(__xludf.DUMMYFUNCTION("""COMPUTED_VALUE"""),46.6)</f>
        <v>46.6</v>
      </c>
      <c r="E327" s="1">
        <f>IFERROR(__xludf.DUMMYFUNCTION("""COMPUTED_VALUE"""),47.15)</f>
        <v>47.15</v>
      </c>
      <c r="F327" s="1">
        <f>IFERROR(__xludf.DUMMYFUNCTION("""COMPUTED_VALUE"""),37465.0)</f>
        <v>37465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IFERROR(__xludf.DUMMYFUNCTION("""COMPUTED_VALUE"""),47.2)</f>
        <v>47.2</v>
      </c>
      <c r="C328" s="1">
        <f>IFERROR(__xludf.DUMMYFUNCTION("""COMPUTED_VALUE"""),47.28)</f>
        <v>47.28</v>
      </c>
      <c r="D328" s="1">
        <f>IFERROR(__xludf.DUMMYFUNCTION("""COMPUTED_VALUE"""),46.98)</f>
        <v>46.98</v>
      </c>
      <c r="E328" s="1">
        <f>IFERROR(__xludf.DUMMYFUNCTION("""COMPUTED_VALUE"""),47.15)</f>
        <v>47.15</v>
      </c>
      <c r="F328" s="1">
        <f>IFERROR(__xludf.DUMMYFUNCTION("""COMPUTED_VALUE"""),34144.0)</f>
        <v>34144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IFERROR(__xludf.DUMMYFUNCTION("""COMPUTED_VALUE"""),47.62)</f>
        <v>47.62</v>
      </c>
      <c r="C329" s="1">
        <f>IFERROR(__xludf.DUMMYFUNCTION("""COMPUTED_VALUE"""),47.98)</f>
        <v>47.98</v>
      </c>
      <c r="D329" s="1">
        <f>IFERROR(__xludf.DUMMYFUNCTION("""COMPUTED_VALUE"""),47.1)</f>
        <v>47.1</v>
      </c>
      <c r="E329" s="1">
        <f>IFERROR(__xludf.DUMMYFUNCTION("""COMPUTED_VALUE"""),47.92)</f>
        <v>47.92</v>
      </c>
      <c r="F329" s="1">
        <f>IFERROR(__xludf.DUMMYFUNCTION("""COMPUTED_VALUE"""),54776.0)</f>
        <v>54776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IFERROR(__xludf.DUMMYFUNCTION("""COMPUTED_VALUE"""),48.25)</f>
        <v>48.25</v>
      </c>
      <c r="C330" s="1">
        <f>IFERROR(__xludf.DUMMYFUNCTION("""COMPUTED_VALUE"""),48.46)</f>
        <v>48.46</v>
      </c>
      <c r="D330" s="1">
        <f>IFERROR(__xludf.DUMMYFUNCTION("""COMPUTED_VALUE"""),47.42)</f>
        <v>47.42</v>
      </c>
      <c r="E330" s="1">
        <f>IFERROR(__xludf.DUMMYFUNCTION("""COMPUTED_VALUE"""),48.33)</f>
        <v>48.33</v>
      </c>
      <c r="F330" s="1">
        <f>IFERROR(__xludf.DUMMYFUNCTION("""COMPUTED_VALUE"""),38920.0)</f>
        <v>38920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IFERROR(__xludf.DUMMYFUNCTION("""COMPUTED_VALUE"""),48.09)</f>
        <v>48.09</v>
      </c>
      <c r="C331" s="1">
        <f>IFERROR(__xludf.DUMMYFUNCTION("""COMPUTED_VALUE"""),48.09)</f>
        <v>48.09</v>
      </c>
      <c r="D331" s="1">
        <f>IFERROR(__xludf.DUMMYFUNCTION("""COMPUTED_VALUE"""),47.09)</f>
        <v>47.09</v>
      </c>
      <c r="E331" s="1">
        <f>IFERROR(__xludf.DUMMYFUNCTION("""COMPUTED_VALUE"""),48.03)</f>
        <v>48.03</v>
      </c>
      <c r="F331" s="1">
        <f>IFERROR(__xludf.DUMMYFUNCTION("""COMPUTED_VALUE"""),27386.0)</f>
        <v>27386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IFERROR(__xludf.DUMMYFUNCTION("""COMPUTED_VALUE"""),47.0)</f>
        <v>47</v>
      </c>
      <c r="C332" s="1">
        <f>IFERROR(__xludf.DUMMYFUNCTION("""COMPUTED_VALUE"""),47.96)</f>
        <v>47.96</v>
      </c>
      <c r="D332" s="1">
        <f>IFERROR(__xludf.DUMMYFUNCTION("""COMPUTED_VALUE"""),45.86)</f>
        <v>45.86</v>
      </c>
      <c r="E332" s="1">
        <f>IFERROR(__xludf.DUMMYFUNCTION("""COMPUTED_VALUE"""),47.82)</f>
        <v>47.82</v>
      </c>
      <c r="F332" s="1">
        <f>IFERROR(__xludf.DUMMYFUNCTION("""COMPUTED_VALUE"""),58985.0)</f>
        <v>58985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IFERROR(__xludf.DUMMYFUNCTION("""COMPUTED_VALUE"""),47.74)</f>
        <v>47.74</v>
      </c>
      <c r="C333" s="1">
        <f>IFERROR(__xludf.DUMMYFUNCTION("""COMPUTED_VALUE"""),49.14)</f>
        <v>49.14</v>
      </c>
      <c r="D333" s="1">
        <f>IFERROR(__xludf.DUMMYFUNCTION("""COMPUTED_VALUE"""),47.74)</f>
        <v>47.74</v>
      </c>
      <c r="E333" s="1">
        <f>IFERROR(__xludf.DUMMYFUNCTION("""COMPUTED_VALUE"""),49.09)</f>
        <v>49.09</v>
      </c>
      <c r="F333" s="1">
        <f>IFERROR(__xludf.DUMMYFUNCTION("""COMPUTED_VALUE"""),39508.0)</f>
        <v>39508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IFERROR(__xludf.DUMMYFUNCTION("""COMPUTED_VALUE"""),48.94)</f>
        <v>48.94</v>
      </c>
      <c r="C334" s="1">
        <f>IFERROR(__xludf.DUMMYFUNCTION("""COMPUTED_VALUE"""),50.0)</f>
        <v>50</v>
      </c>
      <c r="D334" s="1">
        <f>IFERROR(__xludf.DUMMYFUNCTION("""COMPUTED_VALUE"""),48.94)</f>
        <v>48.94</v>
      </c>
      <c r="E334" s="1">
        <f>IFERROR(__xludf.DUMMYFUNCTION("""COMPUTED_VALUE"""),50.0)</f>
        <v>50</v>
      </c>
      <c r="F334" s="1">
        <f>IFERROR(__xludf.DUMMYFUNCTION("""COMPUTED_VALUE"""),45844.0)</f>
        <v>45844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IFERROR(__xludf.DUMMYFUNCTION("""COMPUTED_VALUE"""),50.0)</f>
        <v>50</v>
      </c>
      <c r="C335" s="1">
        <f>IFERROR(__xludf.DUMMYFUNCTION("""COMPUTED_VALUE"""),50.98)</f>
        <v>50.98</v>
      </c>
      <c r="D335" s="1">
        <f>IFERROR(__xludf.DUMMYFUNCTION("""COMPUTED_VALUE"""),49.9)</f>
        <v>49.9</v>
      </c>
      <c r="E335" s="1">
        <f>IFERROR(__xludf.DUMMYFUNCTION("""COMPUTED_VALUE"""),50.82)</f>
        <v>50.82</v>
      </c>
      <c r="F335" s="1">
        <f>IFERROR(__xludf.DUMMYFUNCTION("""COMPUTED_VALUE"""),49561.0)</f>
        <v>49561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IFERROR(__xludf.DUMMYFUNCTION("""COMPUTED_VALUE"""),51.06)</f>
        <v>51.06</v>
      </c>
      <c r="C336" s="1">
        <f>IFERROR(__xludf.DUMMYFUNCTION("""COMPUTED_VALUE"""),51.73)</f>
        <v>51.73</v>
      </c>
      <c r="D336" s="1">
        <f>IFERROR(__xludf.DUMMYFUNCTION("""COMPUTED_VALUE"""),49.96)</f>
        <v>49.96</v>
      </c>
      <c r="E336" s="1">
        <f>IFERROR(__xludf.DUMMYFUNCTION("""COMPUTED_VALUE"""),50.49)</f>
        <v>50.49</v>
      </c>
      <c r="F336" s="1">
        <f>IFERROR(__xludf.DUMMYFUNCTION("""COMPUTED_VALUE"""),32284.0)</f>
        <v>32284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IFERROR(__xludf.DUMMYFUNCTION("""COMPUTED_VALUE"""),50.46)</f>
        <v>50.46</v>
      </c>
      <c r="C337" s="1">
        <f>IFERROR(__xludf.DUMMYFUNCTION("""COMPUTED_VALUE"""),50.59)</f>
        <v>50.59</v>
      </c>
      <c r="D337" s="1">
        <f>IFERROR(__xludf.DUMMYFUNCTION("""COMPUTED_VALUE"""),49.48)</f>
        <v>49.48</v>
      </c>
      <c r="E337" s="1">
        <f>IFERROR(__xludf.DUMMYFUNCTION("""COMPUTED_VALUE"""),50.43)</f>
        <v>50.43</v>
      </c>
      <c r="F337" s="1">
        <f>IFERROR(__xludf.DUMMYFUNCTION("""COMPUTED_VALUE"""),47642.0)</f>
        <v>47642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IFERROR(__xludf.DUMMYFUNCTION("""COMPUTED_VALUE"""),50.39)</f>
        <v>50.39</v>
      </c>
      <c r="C338" s="1">
        <f>IFERROR(__xludf.DUMMYFUNCTION("""COMPUTED_VALUE"""),50.85)</f>
        <v>50.85</v>
      </c>
      <c r="D338" s="1">
        <f>IFERROR(__xludf.DUMMYFUNCTION("""COMPUTED_VALUE"""),49.92)</f>
        <v>49.92</v>
      </c>
      <c r="E338" s="1">
        <f>IFERROR(__xludf.DUMMYFUNCTION("""COMPUTED_VALUE"""),50.43)</f>
        <v>50.43</v>
      </c>
      <c r="F338" s="1">
        <f>IFERROR(__xludf.DUMMYFUNCTION("""COMPUTED_VALUE"""),40353.0)</f>
        <v>40353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IFERROR(__xludf.DUMMYFUNCTION("""COMPUTED_VALUE"""),50.25)</f>
        <v>50.25</v>
      </c>
      <c r="C339" s="1">
        <f>IFERROR(__xludf.DUMMYFUNCTION("""COMPUTED_VALUE"""),50.82)</f>
        <v>50.82</v>
      </c>
      <c r="D339" s="1">
        <f>IFERROR(__xludf.DUMMYFUNCTION("""COMPUTED_VALUE"""),49.9)</f>
        <v>49.9</v>
      </c>
      <c r="E339" s="1">
        <f>IFERROR(__xludf.DUMMYFUNCTION("""COMPUTED_VALUE"""),50.16)</f>
        <v>50.16</v>
      </c>
      <c r="F339" s="1">
        <f>IFERROR(__xludf.DUMMYFUNCTION("""COMPUTED_VALUE"""),27509.0)</f>
        <v>27509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IFERROR(__xludf.DUMMYFUNCTION("""COMPUTED_VALUE"""),50.7)</f>
        <v>50.7</v>
      </c>
      <c r="C340" s="1">
        <f>IFERROR(__xludf.DUMMYFUNCTION("""COMPUTED_VALUE"""),50.8)</f>
        <v>50.8</v>
      </c>
      <c r="D340" s="1">
        <f>IFERROR(__xludf.DUMMYFUNCTION("""COMPUTED_VALUE"""),49.52)</f>
        <v>49.52</v>
      </c>
      <c r="E340" s="1">
        <f>IFERROR(__xludf.DUMMYFUNCTION("""COMPUTED_VALUE"""),49.53)</f>
        <v>49.53</v>
      </c>
      <c r="F340" s="1">
        <f>IFERROR(__xludf.DUMMYFUNCTION("""COMPUTED_VALUE"""),51067.0)</f>
        <v>51067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IFERROR(__xludf.DUMMYFUNCTION("""COMPUTED_VALUE"""),49.4)</f>
        <v>49.4</v>
      </c>
      <c r="C341" s="1">
        <f>IFERROR(__xludf.DUMMYFUNCTION("""COMPUTED_VALUE"""),50.34)</f>
        <v>50.34</v>
      </c>
      <c r="D341" s="1">
        <f>IFERROR(__xludf.DUMMYFUNCTION("""COMPUTED_VALUE"""),49.11)</f>
        <v>49.11</v>
      </c>
      <c r="E341" s="1">
        <f>IFERROR(__xludf.DUMMYFUNCTION("""COMPUTED_VALUE"""),50.24)</f>
        <v>50.24</v>
      </c>
      <c r="F341" s="1">
        <f>IFERROR(__xludf.DUMMYFUNCTION("""COMPUTED_VALUE"""),67070.0)</f>
        <v>67070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IFERROR(__xludf.DUMMYFUNCTION("""COMPUTED_VALUE"""),50.5)</f>
        <v>50.5</v>
      </c>
      <c r="C342" s="1">
        <f>IFERROR(__xludf.DUMMYFUNCTION("""COMPUTED_VALUE"""),51.84)</f>
        <v>51.84</v>
      </c>
      <c r="D342" s="1">
        <f>IFERROR(__xludf.DUMMYFUNCTION("""COMPUTED_VALUE"""),50.32)</f>
        <v>50.32</v>
      </c>
      <c r="E342" s="1">
        <f>IFERROR(__xludf.DUMMYFUNCTION("""COMPUTED_VALUE"""),51.69)</f>
        <v>51.69</v>
      </c>
      <c r="F342" s="1">
        <f>IFERROR(__xludf.DUMMYFUNCTION("""COMPUTED_VALUE"""),37218.0)</f>
        <v>37218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IFERROR(__xludf.DUMMYFUNCTION("""COMPUTED_VALUE"""),51.39)</f>
        <v>51.39</v>
      </c>
      <c r="C343" s="1">
        <f>IFERROR(__xludf.DUMMYFUNCTION("""COMPUTED_VALUE"""),51.68)</f>
        <v>51.68</v>
      </c>
      <c r="D343" s="1">
        <f>IFERROR(__xludf.DUMMYFUNCTION("""COMPUTED_VALUE"""),51.08)</f>
        <v>51.08</v>
      </c>
      <c r="E343" s="1">
        <f>IFERROR(__xludf.DUMMYFUNCTION("""COMPUTED_VALUE"""),51.5)</f>
        <v>51.5</v>
      </c>
      <c r="F343" s="1">
        <f>IFERROR(__xludf.DUMMYFUNCTION("""COMPUTED_VALUE"""),33586.0)</f>
        <v>33586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IFERROR(__xludf.DUMMYFUNCTION("""COMPUTED_VALUE"""),51.36)</f>
        <v>51.36</v>
      </c>
      <c r="C344" s="1">
        <f>IFERROR(__xludf.DUMMYFUNCTION("""COMPUTED_VALUE"""),53.44)</f>
        <v>53.44</v>
      </c>
      <c r="D344" s="1">
        <f>IFERROR(__xludf.DUMMYFUNCTION("""COMPUTED_VALUE"""),50.88)</f>
        <v>50.88</v>
      </c>
      <c r="E344" s="1">
        <f>IFERROR(__xludf.DUMMYFUNCTION("""COMPUTED_VALUE"""),52.76)</f>
        <v>52.76</v>
      </c>
      <c r="F344" s="1">
        <f>IFERROR(__xludf.DUMMYFUNCTION("""COMPUTED_VALUE"""),35236.0)</f>
        <v>35236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IFERROR(__xludf.DUMMYFUNCTION("""COMPUTED_VALUE"""),52.65)</f>
        <v>52.65</v>
      </c>
      <c r="C345" s="1">
        <f>IFERROR(__xludf.DUMMYFUNCTION("""COMPUTED_VALUE"""),53.03)</f>
        <v>53.03</v>
      </c>
      <c r="D345" s="1">
        <f>IFERROR(__xludf.DUMMYFUNCTION("""COMPUTED_VALUE"""),51.41)</f>
        <v>51.41</v>
      </c>
      <c r="E345" s="1">
        <f>IFERROR(__xludf.DUMMYFUNCTION("""COMPUTED_VALUE"""),51.95)</f>
        <v>51.95</v>
      </c>
      <c r="F345" s="1">
        <f>IFERROR(__xludf.DUMMYFUNCTION("""COMPUTED_VALUE"""),20387.0)</f>
        <v>20387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IFERROR(__xludf.DUMMYFUNCTION("""COMPUTED_VALUE"""),51.85)</f>
        <v>51.85</v>
      </c>
      <c r="C346" s="1">
        <f>IFERROR(__xludf.DUMMYFUNCTION("""COMPUTED_VALUE"""),52.24)</f>
        <v>52.24</v>
      </c>
      <c r="D346" s="1">
        <f>IFERROR(__xludf.DUMMYFUNCTION("""COMPUTED_VALUE"""),51.29)</f>
        <v>51.29</v>
      </c>
      <c r="E346" s="1">
        <f>IFERROR(__xludf.DUMMYFUNCTION("""COMPUTED_VALUE"""),51.58)</f>
        <v>51.58</v>
      </c>
      <c r="F346" s="1">
        <f>IFERROR(__xludf.DUMMYFUNCTION("""COMPUTED_VALUE"""),83525.0)</f>
        <v>83525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IFERROR(__xludf.DUMMYFUNCTION("""COMPUTED_VALUE"""),51.44)</f>
        <v>51.44</v>
      </c>
      <c r="C347" s="1">
        <f>IFERROR(__xludf.DUMMYFUNCTION("""COMPUTED_VALUE"""),52.28)</f>
        <v>52.28</v>
      </c>
      <c r="D347" s="1">
        <f>IFERROR(__xludf.DUMMYFUNCTION("""COMPUTED_VALUE"""),50.95)</f>
        <v>50.95</v>
      </c>
      <c r="E347" s="1">
        <f>IFERROR(__xludf.DUMMYFUNCTION("""COMPUTED_VALUE"""),51.8)</f>
        <v>51.8</v>
      </c>
      <c r="F347" s="1">
        <f>IFERROR(__xludf.DUMMYFUNCTION("""COMPUTED_VALUE"""),22382.0)</f>
        <v>22382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IFERROR(__xludf.DUMMYFUNCTION("""COMPUTED_VALUE"""),52.0)</f>
        <v>52</v>
      </c>
      <c r="C348" s="1">
        <f>IFERROR(__xludf.DUMMYFUNCTION("""COMPUTED_VALUE"""),52.0)</f>
        <v>52</v>
      </c>
      <c r="D348" s="1">
        <f>IFERROR(__xludf.DUMMYFUNCTION("""COMPUTED_VALUE"""),50.85)</f>
        <v>50.85</v>
      </c>
      <c r="E348" s="1">
        <f>IFERROR(__xludf.DUMMYFUNCTION("""COMPUTED_VALUE"""),51.15)</f>
        <v>51.15</v>
      </c>
      <c r="F348" s="1">
        <f>IFERROR(__xludf.DUMMYFUNCTION("""COMPUTED_VALUE"""),37877.0)</f>
        <v>37877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IFERROR(__xludf.DUMMYFUNCTION("""COMPUTED_VALUE"""),51.3)</f>
        <v>51.3</v>
      </c>
      <c r="C349" s="1">
        <f>IFERROR(__xludf.DUMMYFUNCTION("""COMPUTED_VALUE"""),51.89)</f>
        <v>51.89</v>
      </c>
      <c r="D349" s="1">
        <f>IFERROR(__xludf.DUMMYFUNCTION("""COMPUTED_VALUE"""),50.75)</f>
        <v>50.75</v>
      </c>
      <c r="E349" s="1">
        <f>IFERROR(__xludf.DUMMYFUNCTION("""COMPUTED_VALUE"""),51.5)</f>
        <v>51.5</v>
      </c>
      <c r="F349" s="1">
        <f>IFERROR(__xludf.DUMMYFUNCTION("""COMPUTED_VALUE"""),53450.0)</f>
        <v>53450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IFERROR(__xludf.DUMMYFUNCTION("""COMPUTED_VALUE"""),51.14)</f>
        <v>51.14</v>
      </c>
      <c r="C350" s="1">
        <f>IFERROR(__xludf.DUMMYFUNCTION("""COMPUTED_VALUE"""),51.55)</f>
        <v>51.55</v>
      </c>
      <c r="D350" s="1">
        <f>IFERROR(__xludf.DUMMYFUNCTION("""COMPUTED_VALUE"""),50.3)</f>
        <v>50.3</v>
      </c>
      <c r="E350" s="1">
        <f>IFERROR(__xludf.DUMMYFUNCTION("""COMPUTED_VALUE"""),50.84)</f>
        <v>50.84</v>
      </c>
      <c r="F350" s="1">
        <f>IFERROR(__xludf.DUMMYFUNCTION("""COMPUTED_VALUE"""),54345.0)</f>
        <v>54345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IFERROR(__xludf.DUMMYFUNCTION("""COMPUTED_VALUE"""),50.25)</f>
        <v>50.25</v>
      </c>
      <c r="C351" s="1">
        <f>IFERROR(__xludf.DUMMYFUNCTION("""COMPUTED_VALUE"""),50.64)</f>
        <v>50.64</v>
      </c>
      <c r="D351" s="1">
        <f>IFERROR(__xludf.DUMMYFUNCTION("""COMPUTED_VALUE"""),49.97)</f>
        <v>49.97</v>
      </c>
      <c r="E351" s="1">
        <f>IFERROR(__xludf.DUMMYFUNCTION("""COMPUTED_VALUE"""),50.01)</f>
        <v>50.01</v>
      </c>
      <c r="F351" s="1">
        <f>IFERROR(__xludf.DUMMYFUNCTION("""COMPUTED_VALUE"""),40028.0)</f>
        <v>40028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IFERROR(__xludf.DUMMYFUNCTION("""COMPUTED_VALUE"""),50.2)</f>
        <v>50.2</v>
      </c>
      <c r="C352" s="1">
        <f>IFERROR(__xludf.DUMMYFUNCTION("""COMPUTED_VALUE"""),50.2)</f>
        <v>50.2</v>
      </c>
      <c r="D352" s="1">
        <f>IFERROR(__xludf.DUMMYFUNCTION("""COMPUTED_VALUE"""),49.16)</f>
        <v>49.16</v>
      </c>
      <c r="E352" s="1">
        <f>IFERROR(__xludf.DUMMYFUNCTION("""COMPUTED_VALUE"""),49.63)</f>
        <v>49.63</v>
      </c>
      <c r="F352" s="1">
        <f>IFERROR(__xludf.DUMMYFUNCTION("""COMPUTED_VALUE"""),47782.0)</f>
        <v>47782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IFERROR(__xludf.DUMMYFUNCTION("""COMPUTED_VALUE"""),49.46)</f>
        <v>49.46</v>
      </c>
      <c r="C353" s="1">
        <f>IFERROR(__xludf.DUMMYFUNCTION("""COMPUTED_VALUE"""),49.72)</f>
        <v>49.72</v>
      </c>
      <c r="D353" s="1">
        <f>IFERROR(__xludf.DUMMYFUNCTION("""COMPUTED_VALUE"""),48.86)</f>
        <v>48.86</v>
      </c>
      <c r="E353" s="1">
        <f>IFERROR(__xludf.DUMMYFUNCTION("""COMPUTED_VALUE"""),49.5)</f>
        <v>49.5</v>
      </c>
      <c r="F353" s="1">
        <f>IFERROR(__xludf.DUMMYFUNCTION("""COMPUTED_VALUE"""),42437.0)</f>
        <v>42437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IFERROR(__xludf.DUMMYFUNCTION("""COMPUTED_VALUE"""),49.28)</f>
        <v>49.28</v>
      </c>
      <c r="C354" s="1">
        <f>IFERROR(__xludf.DUMMYFUNCTION("""COMPUTED_VALUE"""),50.2)</f>
        <v>50.2</v>
      </c>
      <c r="D354" s="1">
        <f>IFERROR(__xludf.DUMMYFUNCTION("""COMPUTED_VALUE"""),49.05)</f>
        <v>49.05</v>
      </c>
      <c r="E354" s="1">
        <f>IFERROR(__xludf.DUMMYFUNCTION("""COMPUTED_VALUE"""),50.17)</f>
        <v>50.17</v>
      </c>
      <c r="F354" s="1">
        <f>IFERROR(__xludf.DUMMYFUNCTION("""COMPUTED_VALUE"""),32666.0)</f>
        <v>32666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IFERROR(__xludf.DUMMYFUNCTION("""COMPUTED_VALUE"""),50.23)</f>
        <v>50.23</v>
      </c>
      <c r="C355" s="1">
        <f>IFERROR(__xludf.DUMMYFUNCTION("""COMPUTED_VALUE"""),50.77)</f>
        <v>50.77</v>
      </c>
      <c r="D355" s="1">
        <f>IFERROR(__xludf.DUMMYFUNCTION("""COMPUTED_VALUE"""),49.95)</f>
        <v>49.95</v>
      </c>
      <c r="E355" s="1">
        <f>IFERROR(__xludf.DUMMYFUNCTION("""COMPUTED_VALUE"""),50.47)</f>
        <v>50.47</v>
      </c>
      <c r="F355" s="1">
        <f>IFERROR(__xludf.DUMMYFUNCTION("""COMPUTED_VALUE"""),12224.0)</f>
        <v>12224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IFERROR(__xludf.DUMMYFUNCTION("""COMPUTED_VALUE"""),50.9)</f>
        <v>50.9</v>
      </c>
      <c r="C356" s="1">
        <f>IFERROR(__xludf.DUMMYFUNCTION("""COMPUTED_VALUE"""),51.7)</f>
        <v>51.7</v>
      </c>
      <c r="D356" s="1">
        <f>IFERROR(__xludf.DUMMYFUNCTION("""COMPUTED_VALUE"""),50.27)</f>
        <v>50.27</v>
      </c>
      <c r="E356" s="1">
        <f>IFERROR(__xludf.DUMMYFUNCTION("""COMPUTED_VALUE"""),51.52)</f>
        <v>51.52</v>
      </c>
      <c r="F356" s="1">
        <f>IFERROR(__xludf.DUMMYFUNCTION("""COMPUTED_VALUE"""),66286.0)</f>
        <v>66286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IFERROR(__xludf.DUMMYFUNCTION("""COMPUTED_VALUE"""),51.36)</f>
        <v>51.36</v>
      </c>
      <c r="C357" s="1">
        <f>IFERROR(__xludf.DUMMYFUNCTION("""COMPUTED_VALUE"""),51.47)</f>
        <v>51.47</v>
      </c>
      <c r="D357" s="1">
        <f>IFERROR(__xludf.DUMMYFUNCTION("""COMPUTED_VALUE"""),49.48)</f>
        <v>49.48</v>
      </c>
      <c r="E357" s="1">
        <f>IFERROR(__xludf.DUMMYFUNCTION("""COMPUTED_VALUE"""),49.81)</f>
        <v>49.81</v>
      </c>
      <c r="F357" s="1">
        <f>IFERROR(__xludf.DUMMYFUNCTION("""COMPUTED_VALUE"""),35798.0)</f>
        <v>35798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IFERROR(__xludf.DUMMYFUNCTION("""COMPUTED_VALUE"""),49.75)</f>
        <v>49.75</v>
      </c>
      <c r="C358" s="1">
        <f>IFERROR(__xludf.DUMMYFUNCTION("""COMPUTED_VALUE"""),50.77)</f>
        <v>50.77</v>
      </c>
      <c r="D358" s="1">
        <f>IFERROR(__xludf.DUMMYFUNCTION("""COMPUTED_VALUE"""),48.75)</f>
        <v>48.75</v>
      </c>
      <c r="E358" s="1">
        <f>IFERROR(__xludf.DUMMYFUNCTION("""COMPUTED_VALUE"""),49.49)</f>
        <v>49.49</v>
      </c>
      <c r="F358" s="1">
        <f>IFERROR(__xludf.DUMMYFUNCTION("""COMPUTED_VALUE"""),32697.0)</f>
        <v>32697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IFERROR(__xludf.DUMMYFUNCTION("""COMPUTED_VALUE"""),48.73)</f>
        <v>48.73</v>
      </c>
      <c r="C359" s="1">
        <f>IFERROR(__xludf.DUMMYFUNCTION("""COMPUTED_VALUE"""),49.24)</f>
        <v>49.24</v>
      </c>
      <c r="D359" s="1">
        <f>IFERROR(__xludf.DUMMYFUNCTION("""COMPUTED_VALUE"""),48.31)</f>
        <v>48.31</v>
      </c>
      <c r="E359" s="1">
        <f>IFERROR(__xludf.DUMMYFUNCTION("""COMPUTED_VALUE"""),48.32)</f>
        <v>48.32</v>
      </c>
      <c r="F359" s="1">
        <f>IFERROR(__xludf.DUMMYFUNCTION("""COMPUTED_VALUE"""),50596.0)</f>
        <v>50596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IFERROR(__xludf.DUMMYFUNCTION("""COMPUTED_VALUE"""),48.23)</f>
        <v>48.23</v>
      </c>
      <c r="C360" s="1">
        <f>IFERROR(__xludf.DUMMYFUNCTION("""COMPUTED_VALUE"""),49.34)</f>
        <v>49.34</v>
      </c>
      <c r="D360" s="1">
        <f>IFERROR(__xludf.DUMMYFUNCTION("""COMPUTED_VALUE"""),48.07)</f>
        <v>48.07</v>
      </c>
      <c r="E360" s="1">
        <f>IFERROR(__xludf.DUMMYFUNCTION("""COMPUTED_VALUE"""),48.1)</f>
        <v>48.1</v>
      </c>
      <c r="F360" s="1">
        <f>IFERROR(__xludf.DUMMYFUNCTION("""COMPUTED_VALUE"""),41588.0)</f>
        <v>41588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IFERROR(__xludf.DUMMYFUNCTION("""COMPUTED_VALUE"""),48.48)</f>
        <v>48.48</v>
      </c>
      <c r="C361" s="1">
        <f>IFERROR(__xludf.DUMMYFUNCTION("""COMPUTED_VALUE"""),48.8)</f>
        <v>48.8</v>
      </c>
      <c r="D361" s="1">
        <f>IFERROR(__xludf.DUMMYFUNCTION("""COMPUTED_VALUE"""),47.85)</f>
        <v>47.85</v>
      </c>
      <c r="E361" s="1">
        <f>IFERROR(__xludf.DUMMYFUNCTION("""COMPUTED_VALUE"""),48.3)</f>
        <v>48.3</v>
      </c>
      <c r="F361" s="1">
        <f>IFERROR(__xludf.DUMMYFUNCTION("""COMPUTED_VALUE"""),21033.0)</f>
        <v>21033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IFERROR(__xludf.DUMMYFUNCTION("""COMPUTED_VALUE"""),48.26)</f>
        <v>48.26</v>
      </c>
      <c r="C362" s="1">
        <f>IFERROR(__xludf.DUMMYFUNCTION("""COMPUTED_VALUE"""),48.85)</f>
        <v>48.85</v>
      </c>
      <c r="D362" s="1">
        <f>IFERROR(__xludf.DUMMYFUNCTION("""COMPUTED_VALUE"""),47.84)</f>
        <v>47.84</v>
      </c>
      <c r="E362" s="1">
        <f>IFERROR(__xludf.DUMMYFUNCTION("""COMPUTED_VALUE"""),48.6)</f>
        <v>48.6</v>
      </c>
      <c r="F362" s="1">
        <f>IFERROR(__xludf.DUMMYFUNCTION("""COMPUTED_VALUE"""),28040.0)</f>
        <v>28040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IFERROR(__xludf.DUMMYFUNCTION("""COMPUTED_VALUE"""),48.87)</f>
        <v>48.87</v>
      </c>
      <c r="C363" s="1">
        <f>IFERROR(__xludf.DUMMYFUNCTION("""COMPUTED_VALUE"""),48.87)</f>
        <v>48.87</v>
      </c>
      <c r="D363" s="1">
        <f>IFERROR(__xludf.DUMMYFUNCTION("""COMPUTED_VALUE"""),47.15)</f>
        <v>47.15</v>
      </c>
      <c r="E363" s="1">
        <f>IFERROR(__xludf.DUMMYFUNCTION("""COMPUTED_VALUE"""),47.73)</f>
        <v>47.73</v>
      </c>
      <c r="F363" s="1">
        <f>IFERROR(__xludf.DUMMYFUNCTION("""COMPUTED_VALUE"""),49681.0)</f>
        <v>49681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IFERROR(__xludf.DUMMYFUNCTION("""COMPUTED_VALUE"""),47.46)</f>
        <v>47.46</v>
      </c>
      <c r="C364" s="1">
        <f>IFERROR(__xludf.DUMMYFUNCTION("""COMPUTED_VALUE"""),47.72)</f>
        <v>47.72</v>
      </c>
      <c r="D364" s="1">
        <f>IFERROR(__xludf.DUMMYFUNCTION("""COMPUTED_VALUE"""),46.7)</f>
        <v>46.7</v>
      </c>
      <c r="E364" s="1">
        <f>IFERROR(__xludf.DUMMYFUNCTION("""COMPUTED_VALUE"""),46.95)</f>
        <v>46.95</v>
      </c>
      <c r="F364" s="1">
        <f>IFERROR(__xludf.DUMMYFUNCTION("""COMPUTED_VALUE"""),24415.0)</f>
        <v>24415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IFERROR(__xludf.DUMMYFUNCTION("""COMPUTED_VALUE"""),47.08)</f>
        <v>47.08</v>
      </c>
      <c r="C365" s="1">
        <f>IFERROR(__xludf.DUMMYFUNCTION("""COMPUTED_VALUE"""),47.33)</f>
        <v>47.33</v>
      </c>
      <c r="D365" s="1">
        <f>IFERROR(__xludf.DUMMYFUNCTION("""COMPUTED_VALUE"""),46.46)</f>
        <v>46.46</v>
      </c>
      <c r="E365" s="1">
        <f>IFERROR(__xludf.DUMMYFUNCTION("""COMPUTED_VALUE"""),46.78)</f>
        <v>46.78</v>
      </c>
      <c r="F365" s="1">
        <f>IFERROR(__xludf.DUMMYFUNCTION("""COMPUTED_VALUE"""),36956.0)</f>
        <v>36956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IFERROR(__xludf.DUMMYFUNCTION("""COMPUTED_VALUE"""),47.09)</f>
        <v>47.09</v>
      </c>
      <c r="C366" s="1">
        <f>IFERROR(__xludf.DUMMYFUNCTION("""COMPUTED_VALUE"""),47.66)</f>
        <v>47.66</v>
      </c>
      <c r="D366" s="1">
        <f>IFERROR(__xludf.DUMMYFUNCTION("""COMPUTED_VALUE"""),46.36)</f>
        <v>46.36</v>
      </c>
      <c r="E366" s="1">
        <f>IFERROR(__xludf.DUMMYFUNCTION("""COMPUTED_VALUE"""),47.57)</f>
        <v>47.57</v>
      </c>
      <c r="F366" s="1">
        <f>IFERROR(__xludf.DUMMYFUNCTION("""COMPUTED_VALUE"""),32618.0)</f>
        <v>32618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IFERROR(__xludf.DUMMYFUNCTION("""COMPUTED_VALUE"""),47.02)</f>
        <v>47.02</v>
      </c>
      <c r="C367" s="1">
        <f>IFERROR(__xludf.DUMMYFUNCTION("""COMPUTED_VALUE"""),47.47)</f>
        <v>47.47</v>
      </c>
      <c r="D367" s="1">
        <f>IFERROR(__xludf.DUMMYFUNCTION("""COMPUTED_VALUE"""),46.67)</f>
        <v>46.67</v>
      </c>
      <c r="E367" s="1">
        <f>IFERROR(__xludf.DUMMYFUNCTION("""COMPUTED_VALUE"""),47.02)</f>
        <v>47.02</v>
      </c>
      <c r="F367" s="1">
        <f>IFERROR(__xludf.DUMMYFUNCTION("""COMPUTED_VALUE"""),24161.0)</f>
        <v>24161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IFERROR(__xludf.DUMMYFUNCTION("""COMPUTED_VALUE"""),46.92)</f>
        <v>46.92</v>
      </c>
      <c r="C368" s="1">
        <f>IFERROR(__xludf.DUMMYFUNCTION("""COMPUTED_VALUE"""),48.05)</f>
        <v>48.05</v>
      </c>
      <c r="D368" s="1">
        <f>IFERROR(__xludf.DUMMYFUNCTION("""COMPUTED_VALUE"""),46.7)</f>
        <v>46.7</v>
      </c>
      <c r="E368" s="1">
        <f>IFERROR(__xludf.DUMMYFUNCTION("""COMPUTED_VALUE"""),47.95)</f>
        <v>47.95</v>
      </c>
      <c r="F368" s="1">
        <f>IFERROR(__xludf.DUMMYFUNCTION("""COMPUTED_VALUE"""),24046.0)</f>
        <v>24046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IFERROR(__xludf.DUMMYFUNCTION("""COMPUTED_VALUE"""),48.2)</f>
        <v>48.2</v>
      </c>
      <c r="C369" s="1">
        <f>IFERROR(__xludf.DUMMYFUNCTION("""COMPUTED_VALUE"""),48.57)</f>
        <v>48.57</v>
      </c>
      <c r="D369" s="1">
        <f>IFERROR(__xludf.DUMMYFUNCTION("""COMPUTED_VALUE"""),47.58)</f>
        <v>47.58</v>
      </c>
      <c r="E369" s="1">
        <f>IFERROR(__xludf.DUMMYFUNCTION("""COMPUTED_VALUE"""),47.98)</f>
        <v>47.98</v>
      </c>
      <c r="F369" s="1">
        <f>IFERROR(__xludf.DUMMYFUNCTION("""COMPUTED_VALUE"""),49427.0)</f>
        <v>49427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IFERROR(__xludf.DUMMYFUNCTION("""COMPUTED_VALUE"""),47.76)</f>
        <v>47.76</v>
      </c>
      <c r="C370" s="1">
        <f>IFERROR(__xludf.DUMMYFUNCTION("""COMPUTED_VALUE"""),48.25)</f>
        <v>48.25</v>
      </c>
      <c r="D370" s="1">
        <f>IFERROR(__xludf.DUMMYFUNCTION("""COMPUTED_VALUE"""),47.47)</f>
        <v>47.47</v>
      </c>
      <c r="E370" s="1">
        <f>IFERROR(__xludf.DUMMYFUNCTION("""COMPUTED_VALUE"""),48.24)</f>
        <v>48.24</v>
      </c>
      <c r="F370" s="1">
        <f>IFERROR(__xludf.DUMMYFUNCTION("""COMPUTED_VALUE"""),34487.0)</f>
        <v>34487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IFERROR(__xludf.DUMMYFUNCTION("""COMPUTED_VALUE"""),48.47)</f>
        <v>48.47</v>
      </c>
      <c r="C371" s="1">
        <f>IFERROR(__xludf.DUMMYFUNCTION("""COMPUTED_VALUE"""),49.41)</f>
        <v>49.41</v>
      </c>
      <c r="D371" s="1">
        <f>IFERROR(__xludf.DUMMYFUNCTION("""COMPUTED_VALUE"""),48.28)</f>
        <v>48.28</v>
      </c>
      <c r="E371" s="1">
        <f>IFERROR(__xludf.DUMMYFUNCTION("""COMPUTED_VALUE"""),49.14)</f>
        <v>49.14</v>
      </c>
      <c r="F371" s="1">
        <f>IFERROR(__xludf.DUMMYFUNCTION("""COMPUTED_VALUE"""),41162.0)</f>
        <v>41162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IFERROR(__xludf.DUMMYFUNCTION("""COMPUTED_VALUE"""),48.83)</f>
        <v>48.83</v>
      </c>
      <c r="C372" s="1">
        <f>IFERROR(__xludf.DUMMYFUNCTION("""COMPUTED_VALUE"""),49.38)</f>
        <v>49.38</v>
      </c>
      <c r="D372" s="1">
        <f>IFERROR(__xludf.DUMMYFUNCTION("""COMPUTED_VALUE"""),48.64)</f>
        <v>48.64</v>
      </c>
      <c r="E372" s="1">
        <f>IFERROR(__xludf.DUMMYFUNCTION("""COMPUTED_VALUE"""),48.64)</f>
        <v>48.64</v>
      </c>
      <c r="F372" s="1">
        <f>IFERROR(__xludf.DUMMYFUNCTION("""COMPUTED_VALUE"""),17948.0)</f>
        <v>17948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IFERROR(__xludf.DUMMYFUNCTION("""COMPUTED_VALUE"""),48.23)</f>
        <v>48.23</v>
      </c>
      <c r="C373" s="1">
        <f>IFERROR(__xludf.DUMMYFUNCTION("""COMPUTED_VALUE"""),48.96)</f>
        <v>48.96</v>
      </c>
      <c r="D373" s="1">
        <f>IFERROR(__xludf.DUMMYFUNCTION("""COMPUTED_VALUE"""),48.05)</f>
        <v>48.05</v>
      </c>
      <c r="E373" s="1">
        <f>IFERROR(__xludf.DUMMYFUNCTION("""COMPUTED_VALUE"""),48.88)</f>
        <v>48.88</v>
      </c>
      <c r="F373" s="1">
        <f>IFERROR(__xludf.DUMMYFUNCTION("""COMPUTED_VALUE"""),25120.0)</f>
        <v>25120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IFERROR(__xludf.DUMMYFUNCTION("""COMPUTED_VALUE"""),48.91)</f>
        <v>48.91</v>
      </c>
      <c r="C374" s="1">
        <f>IFERROR(__xludf.DUMMYFUNCTION("""COMPUTED_VALUE"""),49.1)</f>
        <v>49.1</v>
      </c>
      <c r="D374" s="1">
        <f>IFERROR(__xludf.DUMMYFUNCTION("""COMPUTED_VALUE"""),48.33)</f>
        <v>48.33</v>
      </c>
      <c r="E374" s="1">
        <f>IFERROR(__xludf.DUMMYFUNCTION("""COMPUTED_VALUE"""),48.52)</f>
        <v>48.52</v>
      </c>
      <c r="F374" s="1">
        <f>IFERROR(__xludf.DUMMYFUNCTION("""COMPUTED_VALUE"""),71063.0)</f>
        <v>71063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IFERROR(__xludf.DUMMYFUNCTION("""COMPUTED_VALUE"""),48.67)</f>
        <v>48.67</v>
      </c>
      <c r="C375" s="1">
        <f>IFERROR(__xludf.DUMMYFUNCTION("""COMPUTED_VALUE"""),49.25)</f>
        <v>49.25</v>
      </c>
      <c r="D375" s="1">
        <f>IFERROR(__xludf.DUMMYFUNCTION("""COMPUTED_VALUE"""),48.57)</f>
        <v>48.57</v>
      </c>
      <c r="E375" s="1">
        <f>IFERROR(__xludf.DUMMYFUNCTION("""COMPUTED_VALUE"""),48.88)</f>
        <v>48.88</v>
      </c>
      <c r="F375" s="1">
        <f>IFERROR(__xludf.DUMMYFUNCTION("""COMPUTED_VALUE"""),30591.0)</f>
        <v>30591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IFERROR(__xludf.DUMMYFUNCTION("""COMPUTED_VALUE"""),49.13)</f>
        <v>49.13</v>
      </c>
      <c r="C376" s="1">
        <f>IFERROR(__xludf.DUMMYFUNCTION("""COMPUTED_VALUE"""),49.28)</f>
        <v>49.28</v>
      </c>
      <c r="D376" s="1">
        <f>IFERROR(__xludf.DUMMYFUNCTION("""COMPUTED_VALUE"""),48.58)</f>
        <v>48.58</v>
      </c>
      <c r="E376" s="1">
        <f>IFERROR(__xludf.DUMMYFUNCTION("""COMPUTED_VALUE"""),49.23)</f>
        <v>49.23</v>
      </c>
      <c r="F376" s="1">
        <f>IFERROR(__xludf.DUMMYFUNCTION("""COMPUTED_VALUE"""),28006.0)</f>
        <v>28006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IFERROR(__xludf.DUMMYFUNCTION("""COMPUTED_VALUE"""),49.23)</f>
        <v>49.23</v>
      </c>
      <c r="C377" s="1">
        <f>IFERROR(__xludf.DUMMYFUNCTION("""COMPUTED_VALUE"""),49.56)</f>
        <v>49.56</v>
      </c>
      <c r="D377" s="1">
        <f>IFERROR(__xludf.DUMMYFUNCTION("""COMPUTED_VALUE"""),48.22)</f>
        <v>48.22</v>
      </c>
      <c r="E377" s="1">
        <f>IFERROR(__xludf.DUMMYFUNCTION("""COMPUTED_VALUE"""),49.36)</f>
        <v>49.36</v>
      </c>
      <c r="F377" s="1">
        <f>IFERROR(__xludf.DUMMYFUNCTION("""COMPUTED_VALUE"""),21243.0)</f>
        <v>21243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IFERROR(__xludf.DUMMYFUNCTION("""COMPUTED_VALUE"""),49.57)</f>
        <v>49.57</v>
      </c>
      <c r="C378" s="1">
        <f>IFERROR(__xludf.DUMMYFUNCTION("""COMPUTED_VALUE"""),49.98)</f>
        <v>49.98</v>
      </c>
      <c r="D378" s="1">
        <f>IFERROR(__xludf.DUMMYFUNCTION("""COMPUTED_VALUE"""),49.18)</f>
        <v>49.18</v>
      </c>
      <c r="E378" s="1">
        <f>IFERROR(__xludf.DUMMYFUNCTION("""COMPUTED_VALUE"""),49.85)</f>
        <v>49.85</v>
      </c>
      <c r="F378" s="1">
        <f>IFERROR(__xludf.DUMMYFUNCTION("""COMPUTED_VALUE"""),25220.0)</f>
        <v>25220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IFERROR(__xludf.DUMMYFUNCTION("""COMPUTED_VALUE"""),49.98)</f>
        <v>49.98</v>
      </c>
      <c r="C379" s="1">
        <f>IFERROR(__xludf.DUMMYFUNCTION("""COMPUTED_VALUE"""),51.02)</f>
        <v>51.02</v>
      </c>
      <c r="D379" s="1">
        <f>IFERROR(__xludf.DUMMYFUNCTION("""COMPUTED_VALUE"""),49.73)</f>
        <v>49.73</v>
      </c>
      <c r="E379" s="1">
        <f>IFERROR(__xludf.DUMMYFUNCTION("""COMPUTED_VALUE"""),50.77)</f>
        <v>50.77</v>
      </c>
      <c r="F379" s="1">
        <f>IFERROR(__xludf.DUMMYFUNCTION("""COMPUTED_VALUE"""),51957.0)</f>
        <v>51957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IFERROR(__xludf.DUMMYFUNCTION("""COMPUTED_VALUE"""),50.79)</f>
        <v>50.79</v>
      </c>
      <c r="C380" s="1">
        <f>IFERROR(__xludf.DUMMYFUNCTION("""COMPUTED_VALUE"""),51.02)</f>
        <v>51.02</v>
      </c>
      <c r="D380" s="1">
        <f>IFERROR(__xludf.DUMMYFUNCTION("""COMPUTED_VALUE"""),50.42)</f>
        <v>50.42</v>
      </c>
      <c r="E380" s="1">
        <f>IFERROR(__xludf.DUMMYFUNCTION("""COMPUTED_VALUE"""),50.83)</f>
        <v>50.83</v>
      </c>
      <c r="F380" s="1">
        <f>IFERROR(__xludf.DUMMYFUNCTION("""COMPUTED_VALUE"""),31898.0)</f>
        <v>31898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IFERROR(__xludf.DUMMYFUNCTION("""COMPUTED_VALUE"""),50.94)</f>
        <v>50.94</v>
      </c>
      <c r="C381" s="1">
        <f>IFERROR(__xludf.DUMMYFUNCTION("""COMPUTED_VALUE"""),51.43)</f>
        <v>51.43</v>
      </c>
      <c r="D381" s="1">
        <f>IFERROR(__xludf.DUMMYFUNCTION("""COMPUTED_VALUE"""),50.51)</f>
        <v>50.51</v>
      </c>
      <c r="E381" s="1">
        <f>IFERROR(__xludf.DUMMYFUNCTION("""COMPUTED_VALUE"""),51.33)</f>
        <v>51.33</v>
      </c>
      <c r="F381" s="1">
        <f>IFERROR(__xludf.DUMMYFUNCTION("""COMPUTED_VALUE"""),29277.0)</f>
        <v>29277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IFERROR(__xludf.DUMMYFUNCTION("""COMPUTED_VALUE"""),51.84)</f>
        <v>51.84</v>
      </c>
      <c r="C382" s="1">
        <f>IFERROR(__xludf.DUMMYFUNCTION("""COMPUTED_VALUE"""),52.4)</f>
        <v>52.4</v>
      </c>
      <c r="D382" s="1">
        <f>IFERROR(__xludf.DUMMYFUNCTION("""COMPUTED_VALUE"""),51.3)</f>
        <v>51.3</v>
      </c>
      <c r="E382" s="1">
        <f>IFERROR(__xludf.DUMMYFUNCTION("""COMPUTED_VALUE"""),51.84)</f>
        <v>51.84</v>
      </c>
      <c r="F382" s="1">
        <f>IFERROR(__xludf.DUMMYFUNCTION("""COMPUTED_VALUE"""),25635.0)</f>
        <v>25635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IFERROR(__xludf.DUMMYFUNCTION("""COMPUTED_VALUE"""),51.29)</f>
        <v>51.29</v>
      </c>
      <c r="C383" s="1">
        <f>IFERROR(__xludf.DUMMYFUNCTION("""COMPUTED_VALUE"""),51.77)</f>
        <v>51.77</v>
      </c>
      <c r="D383" s="1">
        <f>IFERROR(__xludf.DUMMYFUNCTION("""COMPUTED_VALUE"""),50.85)</f>
        <v>50.85</v>
      </c>
      <c r="E383" s="1">
        <f>IFERROR(__xludf.DUMMYFUNCTION("""COMPUTED_VALUE"""),51.64)</f>
        <v>51.64</v>
      </c>
      <c r="F383" s="1">
        <f>IFERROR(__xludf.DUMMYFUNCTION("""COMPUTED_VALUE"""),20372.0)</f>
        <v>20372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IFERROR(__xludf.DUMMYFUNCTION("""COMPUTED_VALUE"""),51.25)</f>
        <v>51.25</v>
      </c>
      <c r="C384" s="1">
        <f>IFERROR(__xludf.DUMMYFUNCTION("""COMPUTED_VALUE"""),51.25)</f>
        <v>51.25</v>
      </c>
      <c r="D384" s="1">
        <f>IFERROR(__xludf.DUMMYFUNCTION("""COMPUTED_VALUE"""),50.17)</f>
        <v>50.17</v>
      </c>
      <c r="E384" s="1">
        <f>IFERROR(__xludf.DUMMYFUNCTION("""COMPUTED_VALUE"""),50.93)</f>
        <v>50.93</v>
      </c>
      <c r="F384" s="1">
        <f>IFERROR(__xludf.DUMMYFUNCTION("""COMPUTED_VALUE"""),22709.0)</f>
        <v>22709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IFERROR(__xludf.DUMMYFUNCTION("""COMPUTED_VALUE"""),50.54)</f>
        <v>50.54</v>
      </c>
      <c r="C385" s="1">
        <f>IFERROR(__xludf.DUMMYFUNCTION("""COMPUTED_VALUE"""),51.57)</f>
        <v>51.57</v>
      </c>
      <c r="D385" s="1">
        <f>IFERROR(__xludf.DUMMYFUNCTION("""COMPUTED_VALUE"""),50.54)</f>
        <v>50.54</v>
      </c>
      <c r="E385" s="1">
        <f>IFERROR(__xludf.DUMMYFUNCTION("""COMPUTED_VALUE"""),51.13)</f>
        <v>51.13</v>
      </c>
      <c r="F385" s="1">
        <f>IFERROR(__xludf.DUMMYFUNCTION("""COMPUTED_VALUE"""),30791.0)</f>
        <v>30791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IFERROR(__xludf.DUMMYFUNCTION("""COMPUTED_VALUE"""),51.26)</f>
        <v>51.26</v>
      </c>
      <c r="C386" s="1">
        <f>IFERROR(__xludf.DUMMYFUNCTION("""COMPUTED_VALUE"""),51.45)</f>
        <v>51.45</v>
      </c>
      <c r="D386" s="1">
        <f>IFERROR(__xludf.DUMMYFUNCTION("""COMPUTED_VALUE"""),50.0)</f>
        <v>50</v>
      </c>
      <c r="E386" s="1">
        <f>IFERROR(__xludf.DUMMYFUNCTION("""COMPUTED_VALUE"""),51.28)</f>
        <v>51.28</v>
      </c>
      <c r="F386" s="1">
        <f>IFERROR(__xludf.DUMMYFUNCTION("""COMPUTED_VALUE"""),52302.0)</f>
        <v>52302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IFERROR(__xludf.DUMMYFUNCTION("""COMPUTED_VALUE"""),51.22)</f>
        <v>51.22</v>
      </c>
      <c r="C387" s="1">
        <f>IFERROR(__xludf.DUMMYFUNCTION("""COMPUTED_VALUE"""),51.3)</f>
        <v>51.3</v>
      </c>
      <c r="D387" s="1">
        <f>IFERROR(__xludf.DUMMYFUNCTION("""COMPUTED_VALUE"""),50.38)</f>
        <v>50.38</v>
      </c>
      <c r="E387" s="1">
        <f>IFERROR(__xludf.DUMMYFUNCTION("""COMPUTED_VALUE"""),50.68)</f>
        <v>50.68</v>
      </c>
      <c r="F387" s="1">
        <f>IFERROR(__xludf.DUMMYFUNCTION("""COMPUTED_VALUE"""),29460.0)</f>
        <v>29460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IFERROR(__xludf.DUMMYFUNCTION("""COMPUTED_VALUE"""),50.72)</f>
        <v>50.72</v>
      </c>
      <c r="C388" s="1">
        <f>IFERROR(__xludf.DUMMYFUNCTION("""COMPUTED_VALUE"""),51.14)</f>
        <v>51.14</v>
      </c>
      <c r="D388" s="1">
        <f>IFERROR(__xludf.DUMMYFUNCTION("""COMPUTED_VALUE"""),50.28)</f>
        <v>50.28</v>
      </c>
      <c r="E388" s="1">
        <f>IFERROR(__xludf.DUMMYFUNCTION("""COMPUTED_VALUE"""),50.95)</f>
        <v>50.95</v>
      </c>
      <c r="F388" s="1">
        <f>IFERROR(__xludf.DUMMYFUNCTION("""COMPUTED_VALUE"""),25470.0)</f>
        <v>25470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IFERROR(__xludf.DUMMYFUNCTION("""COMPUTED_VALUE"""),50.87)</f>
        <v>50.87</v>
      </c>
      <c r="C389" s="1">
        <f>IFERROR(__xludf.DUMMYFUNCTION("""COMPUTED_VALUE"""),50.87)</f>
        <v>50.87</v>
      </c>
      <c r="D389" s="1">
        <f>IFERROR(__xludf.DUMMYFUNCTION("""COMPUTED_VALUE"""),50.0)</f>
        <v>50</v>
      </c>
      <c r="E389" s="1">
        <f>IFERROR(__xludf.DUMMYFUNCTION("""COMPUTED_VALUE"""),50.12)</f>
        <v>50.12</v>
      </c>
      <c r="F389" s="1">
        <f>IFERROR(__xludf.DUMMYFUNCTION("""COMPUTED_VALUE"""),15967.0)</f>
        <v>15967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IFERROR(__xludf.DUMMYFUNCTION("""COMPUTED_VALUE"""),50.38)</f>
        <v>50.38</v>
      </c>
      <c r="C390" s="1">
        <f>IFERROR(__xludf.DUMMYFUNCTION("""COMPUTED_VALUE"""),50.93)</f>
        <v>50.93</v>
      </c>
      <c r="D390" s="1">
        <f>IFERROR(__xludf.DUMMYFUNCTION("""COMPUTED_VALUE"""),50.0)</f>
        <v>50</v>
      </c>
      <c r="E390" s="1">
        <f>IFERROR(__xludf.DUMMYFUNCTION("""COMPUTED_VALUE"""),50.75)</f>
        <v>50.75</v>
      </c>
      <c r="F390" s="1">
        <f>IFERROR(__xludf.DUMMYFUNCTION("""COMPUTED_VALUE"""),41576.0)</f>
        <v>41576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IFERROR(__xludf.DUMMYFUNCTION("""COMPUTED_VALUE"""),50.8)</f>
        <v>50.8</v>
      </c>
      <c r="C391" s="1">
        <f>IFERROR(__xludf.DUMMYFUNCTION("""COMPUTED_VALUE"""),50.8)</f>
        <v>50.8</v>
      </c>
      <c r="D391" s="1">
        <f>IFERROR(__xludf.DUMMYFUNCTION("""COMPUTED_VALUE"""),49.62)</f>
        <v>49.62</v>
      </c>
      <c r="E391" s="1">
        <f>IFERROR(__xludf.DUMMYFUNCTION("""COMPUTED_VALUE"""),50.6)</f>
        <v>50.6</v>
      </c>
      <c r="F391" s="1">
        <f>IFERROR(__xludf.DUMMYFUNCTION("""COMPUTED_VALUE"""),33613.0)</f>
        <v>33613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IFERROR(__xludf.DUMMYFUNCTION("""COMPUTED_VALUE"""),50.69)</f>
        <v>50.69</v>
      </c>
      <c r="C392" s="1">
        <f>IFERROR(__xludf.DUMMYFUNCTION("""COMPUTED_VALUE"""),51.89)</f>
        <v>51.89</v>
      </c>
      <c r="D392" s="1">
        <f>IFERROR(__xludf.DUMMYFUNCTION("""COMPUTED_VALUE"""),50.62)</f>
        <v>50.62</v>
      </c>
      <c r="E392" s="1">
        <f>IFERROR(__xludf.DUMMYFUNCTION("""COMPUTED_VALUE"""),51.82)</f>
        <v>51.82</v>
      </c>
      <c r="F392" s="1">
        <f>IFERROR(__xludf.DUMMYFUNCTION("""COMPUTED_VALUE"""),39767.0)</f>
        <v>39767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IFERROR(__xludf.DUMMYFUNCTION("""COMPUTED_VALUE"""),51.92)</f>
        <v>51.92</v>
      </c>
      <c r="C393" s="1">
        <f>IFERROR(__xludf.DUMMYFUNCTION("""COMPUTED_VALUE"""),51.92)</f>
        <v>51.92</v>
      </c>
      <c r="D393" s="1">
        <f>IFERROR(__xludf.DUMMYFUNCTION("""COMPUTED_VALUE"""),50.6)</f>
        <v>50.6</v>
      </c>
      <c r="E393" s="1">
        <f>IFERROR(__xludf.DUMMYFUNCTION("""COMPUTED_VALUE"""),51.14)</f>
        <v>51.14</v>
      </c>
      <c r="F393" s="1">
        <f>IFERROR(__xludf.DUMMYFUNCTION("""COMPUTED_VALUE"""),25978.0)</f>
        <v>25978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IFERROR(__xludf.DUMMYFUNCTION("""COMPUTED_VALUE"""),50.56)</f>
        <v>50.56</v>
      </c>
      <c r="C394" s="1">
        <f>IFERROR(__xludf.DUMMYFUNCTION("""COMPUTED_VALUE"""),51.3)</f>
        <v>51.3</v>
      </c>
      <c r="D394" s="1">
        <f>IFERROR(__xludf.DUMMYFUNCTION("""COMPUTED_VALUE"""),50.15)</f>
        <v>50.15</v>
      </c>
      <c r="E394" s="1">
        <f>IFERROR(__xludf.DUMMYFUNCTION("""COMPUTED_VALUE"""),50.74)</f>
        <v>50.74</v>
      </c>
      <c r="F394" s="1">
        <f>IFERROR(__xludf.DUMMYFUNCTION("""COMPUTED_VALUE"""),23200.0)</f>
        <v>23200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IFERROR(__xludf.DUMMYFUNCTION("""COMPUTED_VALUE"""),52.27)</f>
        <v>52.27</v>
      </c>
      <c r="C395" s="1">
        <f>IFERROR(__xludf.DUMMYFUNCTION("""COMPUTED_VALUE"""),55.58)</f>
        <v>55.58</v>
      </c>
      <c r="D395" s="1">
        <f>IFERROR(__xludf.DUMMYFUNCTION("""COMPUTED_VALUE"""),50.13)</f>
        <v>50.13</v>
      </c>
      <c r="E395" s="1">
        <f>IFERROR(__xludf.DUMMYFUNCTION("""COMPUTED_VALUE"""),53.1)</f>
        <v>53.1</v>
      </c>
      <c r="F395" s="1">
        <f>IFERROR(__xludf.DUMMYFUNCTION("""COMPUTED_VALUE"""),91862.0)</f>
        <v>91862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IFERROR(__xludf.DUMMYFUNCTION("""COMPUTED_VALUE"""),53.09)</f>
        <v>53.09</v>
      </c>
      <c r="C396" s="1">
        <f>IFERROR(__xludf.DUMMYFUNCTION("""COMPUTED_VALUE"""),54.02)</f>
        <v>54.02</v>
      </c>
      <c r="D396" s="1">
        <f>IFERROR(__xludf.DUMMYFUNCTION("""COMPUTED_VALUE"""),52.01)</f>
        <v>52.01</v>
      </c>
      <c r="E396" s="1">
        <f>IFERROR(__xludf.DUMMYFUNCTION("""COMPUTED_VALUE"""),52.28)</f>
        <v>52.28</v>
      </c>
      <c r="F396" s="1">
        <f>IFERROR(__xludf.DUMMYFUNCTION("""COMPUTED_VALUE"""),76629.0)</f>
        <v>76629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IFERROR(__xludf.DUMMYFUNCTION("""COMPUTED_VALUE"""),52.52)</f>
        <v>52.52</v>
      </c>
      <c r="C397" s="1">
        <f>IFERROR(__xludf.DUMMYFUNCTION("""COMPUTED_VALUE"""),53.9)</f>
        <v>53.9</v>
      </c>
      <c r="D397" s="1">
        <f>IFERROR(__xludf.DUMMYFUNCTION("""COMPUTED_VALUE"""),51.3)</f>
        <v>51.3</v>
      </c>
      <c r="E397" s="1">
        <f>IFERROR(__xludf.DUMMYFUNCTION("""COMPUTED_VALUE"""),51.52)</f>
        <v>51.52</v>
      </c>
      <c r="F397" s="1">
        <f>IFERROR(__xludf.DUMMYFUNCTION("""COMPUTED_VALUE"""),48922.0)</f>
        <v>48922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IFERROR(__xludf.DUMMYFUNCTION("""COMPUTED_VALUE"""),51.26)</f>
        <v>51.26</v>
      </c>
      <c r="C398" s="1">
        <f>IFERROR(__xludf.DUMMYFUNCTION("""COMPUTED_VALUE"""),51.85)</f>
        <v>51.85</v>
      </c>
      <c r="D398" s="1">
        <f>IFERROR(__xludf.DUMMYFUNCTION("""COMPUTED_VALUE"""),50.52)</f>
        <v>50.52</v>
      </c>
      <c r="E398" s="1">
        <f>IFERROR(__xludf.DUMMYFUNCTION("""COMPUTED_VALUE"""),51.69)</f>
        <v>51.69</v>
      </c>
      <c r="F398" s="1">
        <f>IFERROR(__xludf.DUMMYFUNCTION("""COMPUTED_VALUE"""),35681.0)</f>
        <v>35681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IFERROR(__xludf.DUMMYFUNCTION("""COMPUTED_VALUE"""),52.34)</f>
        <v>52.34</v>
      </c>
      <c r="C399" s="1">
        <f>IFERROR(__xludf.DUMMYFUNCTION("""COMPUTED_VALUE"""),53.15)</f>
        <v>53.15</v>
      </c>
      <c r="D399" s="1">
        <f>IFERROR(__xludf.DUMMYFUNCTION("""COMPUTED_VALUE"""),50.78)</f>
        <v>50.78</v>
      </c>
      <c r="E399" s="1">
        <f>IFERROR(__xludf.DUMMYFUNCTION("""COMPUTED_VALUE"""),51.71)</f>
        <v>51.71</v>
      </c>
      <c r="F399" s="1">
        <f>IFERROR(__xludf.DUMMYFUNCTION("""COMPUTED_VALUE"""),66380.0)</f>
        <v>66380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IFERROR(__xludf.DUMMYFUNCTION("""COMPUTED_VALUE"""),51.39)</f>
        <v>51.39</v>
      </c>
      <c r="C400" s="1">
        <f>IFERROR(__xludf.DUMMYFUNCTION("""COMPUTED_VALUE"""),51.88)</f>
        <v>51.88</v>
      </c>
      <c r="D400" s="1">
        <f>IFERROR(__xludf.DUMMYFUNCTION("""COMPUTED_VALUE"""),50.09)</f>
        <v>50.09</v>
      </c>
      <c r="E400" s="1">
        <f>IFERROR(__xludf.DUMMYFUNCTION("""COMPUTED_VALUE"""),50.12)</f>
        <v>50.12</v>
      </c>
      <c r="F400" s="1">
        <f>IFERROR(__xludf.DUMMYFUNCTION("""COMPUTED_VALUE"""),31738.0)</f>
        <v>31738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IFERROR(__xludf.DUMMYFUNCTION("""COMPUTED_VALUE"""),50.41)</f>
        <v>50.41</v>
      </c>
      <c r="C401" s="1">
        <f>IFERROR(__xludf.DUMMYFUNCTION("""COMPUTED_VALUE"""),50.83)</f>
        <v>50.83</v>
      </c>
      <c r="D401" s="1">
        <f>IFERROR(__xludf.DUMMYFUNCTION("""COMPUTED_VALUE"""),49.38)</f>
        <v>49.38</v>
      </c>
      <c r="E401" s="1">
        <f>IFERROR(__xludf.DUMMYFUNCTION("""COMPUTED_VALUE"""),50.37)</f>
        <v>50.37</v>
      </c>
      <c r="F401" s="1">
        <f>IFERROR(__xludf.DUMMYFUNCTION("""COMPUTED_VALUE"""),29592.0)</f>
        <v>29592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IFERROR(__xludf.DUMMYFUNCTION("""COMPUTED_VALUE"""),49.88)</f>
        <v>49.88</v>
      </c>
      <c r="C402" s="1">
        <f>IFERROR(__xludf.DUMMYFUNCTION("""COMPUTED_VALUE"""),50.82)</f>
        <v>50.82</v>
      </c>
      <c r="D402" s="1">
        <f>IFERROR(__xludf.DUMMYFUNCTION("""COMPUTED_VALUE"""),47.97)</f>
        <v>47.97</v>
      </c>
      <c r="E402" s="1">
        <f>IFERROR(__xludf.DUMMYFUNCTION("""COMPUTED_VALUE"""),47.97)</f>
        <v>47.97</v>
      </c>
      <c r="F402" s="1">
        <f>IFERROR(__xludf.DUMMYFUNCTION("""COMPUTED_VALUE"""),37907.0)</f>
        <v>37907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IFERROR(__xludf.DUMMYFUNCTION("""COMPUTED_VALUE"""),48.38)</f>
        <v>48.38</v>
      </c>
      <c r="C403" s="1">
        <f>IFERROR(__xludf.DUMMYFUNCTION("""COMPUTED_VALUE"""),49.05)</f>
        <v>49.05</v>
      </c>
      <c r="D403" s="1">
        <f>IFERROR(__xludf.DUMMYFUNCTION("""COMPUTED_VALUE"""),46.43)</f>
        <v>46.43</v>
      </c>
      <c r="E403" s="1">
        <f>IFERROR(__xludf.DUMMYFUNCTION("""COMPUTED_VALUE"""),47.79)</f>
        <v>47.79</v>
      </c>
      <c r="F403" s="1">
        <f>IFERROR(__xludf.DUMMYFUNCTION("""COMPUTED_VALUE"""),46651.0)</f>
        <v>46651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IFERROR(__xludf.DUMMYFUNCTION("""COMPUTED_VALUE"""),46.84)</f>
        <v>46.84</v>
      </c>
      <c r="C404" s="1">
        <f>IFERROR(__xludf.DUMMYFUNCTION("""COMPUTED_VALUE"""),48.85)</f>
        <v>48.85</v>
      </c>
      <c r="D404" s="1">
        <f>IFERROR(__xludf.DUMMYFUNCTION("""COMPUTED_VALUE"""),43.28)</f>
        <v>43.28</v>
      </c>
      <c r="E404" s="1">
        <f>IFERROR(__xludf.DUMMYFUNCTION("""COMPUTED_VALUE"""),44.16)</f>
        <v>44.16</v>
      </c>
      <c r="F404" s="1">
        <f>IFERROR(__xludf.DUMMYFUNCTION("""COMPUTED_VALUE"""),82183.0)</f>
        <v>82183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IFERROR(__xludf.DUMMYFUNCTION("""COMPUTED_VALUE"""),45.15)</f>
        <v>45.15</v>
      </c>
      <c r="C405" s="1">
        <f>IFERROR(__xludf.DUMMYFUNCTION("""COMPUTED_VALUE"""),47.13)</f>
        <v>47.13</v>
      </c>
      <c r="D405" s="1">
        <f>IFERROR(__xludf.DUMMYFUNCTION("""COMPUTED_VALUE"""),43.25)</f>
        <v>43.25</v>
      </c>
      <c r="E405" s="1">
        <f>IFERROR(__xludf.DUMMYFUNCTION("""COMPUTED_VALUE"""),46.56)</f>
        <v>46.56</v>
      </c>
      <c r="F405" s="1">
        <f>IFERROR(__xludf.DUMMYFUNCTION("""COMPUTED_VALUE"""),102214.0)</f>
        <v>102214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IFERROR(__xludf.DUMMYFUNCTION("""COMPUTED_VALUE"""),44.53)</f>
        <v>44.53</v>
      </c>
      <c r="C406" s="1">
        <f>IFERROR(__xludf.DUMMYFUNCTION("""COMPUTED_VALUE"""),45.63)</f>
        <v>45.63</v>
      </c>
      <c r="D406" s="1">
        <f>IFERROR(__xludf.DUMMYFUNCTION("""COMPUTED_VALUE"""),44.53)</f>
        <v>44.53</v>
      </c>
      <c r="E406" s="1">
        <f>IFERROR(__xludf.DUMMYFUNCTION("""COMPUTED_VALUE"""),44.87)</f>
        <v>44.87</v>
      </c>
      <c r="F406" s="1">
        <f>IFERROR(__xludf.DUMMYFUNCTION("""COMPUTED_VALUE"""),95725.0)</f>
        <v>95725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IFERROR(__xludf.DUMMYFUNCTION("""COMPUTED_VALUE"""),45.37)</f>
        <v>45.37</v>
      </c>
      <c r="C407" s="1">
        <f>IFERROR(__xludf.DUMMYFUNCTION("""COMPUTED_VALUE"""),47.9)</f>
        <v>47.9</v>
      </c>
      <c r="D407" s="1">
        <f>IFERROR(__xludf.DUMMYFUNCTION("""COMPUTED_VALUE"""),45.21)</f>
        <v>45.21</v>
      </c>
      <c r="E407" s="1">
        <f>IFERROR(__xludf.DUMMYFUNCTION("""COMPUTED_VALUE"""),47.27)</f>
        <v>47.27</v>
      </c>
      <c r="F407" s="1">
        <f>IFERROR(__xludf.DUMMYFUNCTION("""COMPUTED_VALUE"""),62050.0)</f>
        <v>62050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IFERROR(__xludf.DUMMYFUNCTION("""COMPUTED_VALUE"""),47.37)</f>
        <v>47.37</v>
      </c>
      <c r="C408" s="1">
        <f>IFERROR(__xludf.DUMMYFUNCTION("""COMPUTED_VALUE"""),48.14)</f>
        <v>48.14</v>
      </c>
      <c r="D408" s="1">
        <f>IFERROR(__xludf.DUMMYFUNCTION("""COMPUTED_VALUE"""),46.44)</f>
        <v>46.44</v>
      </c>
      <c r="E408" s="1">
        <f>IFERROR(__xludf.DUMMYFUNCTION("""COMPUTED_VALUE"""),47.95)</f>
        <v>47.95</v>
      </c>
      <c r="F408" s="1">
        <f>IFERROR(__xludf.DUMMYFUNCTION("""COMPUTED_VALUE"""),54637.0)</f>
        <v>54637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IFERROR(__xludf.DUMMYFUNCTION("""COMPUTED_VALUE"""),48.03)</f>
        <v>48.03</v>
      </c>
      <c r="C409" s="1">
        <f>IFERROR(__xludf.DUMMYFUNCTION("""COMPUTED_VALUE"""),49.09)</f>
        <v>49.09</v>
      </c>
      <c r="D409" s="1">
        <f>IFERROR(__xludf.DUMMYFUNCTION("""COMPUTED_VALUE"""),47.4)</f>
        <v>47.4</v>
      </c>
      <c r="E409" s="1">
        <f>IFERROR(__xludf.DUMMYFUNCTION("""COMPUTED_VALUE"""),48.97)</f>
        <v>48.97</v>
      </c>
      <c r="F409" s="1">
        <f>IFERROR(__xludf.DUMMYFUNCTION("""COMPUTED_VALUE"""),49341.0)</f>
        <v>49341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IFERROR(__xludf.DUMMYFUNCTION("""COMPUTED_VALUE"""),48.6)</f>
        <v>48.6</v>
      </c>
      <c r="C410" s="1">
        <f>IFERROR(__xludf.DUMMYFUNCTION("""COMPUTED_VALUE"""),48.8)</f>
        <v>48.8</v>
      </c>
      <c r="D410" s="1">
        <f>IFERROR(__xludf.DUMMYFUNCTION("""COMPUTED_VALUE"""),47.28)</f>
        <v>47.28</v>
      </c>
      <c r="E410" s="1">
        <f>IFERROR(__xludf.DUMMYFUNCTION("""COMPUTED_VALUE"""),48.11)</f>
        <v>48.11</v>
      </c>
      <c r="F410" s="1">
        <f>IFERROR(__xludf.DUMMYFUNCTION("""COMPUTED_VALUE"""),61059.0)</f>
        <v>61059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IFERROR(__xludf.DUMMYFUNCTION("""COMPUTED_VALUE"""),48.26)</f>
        <v>48.26</v>
      </c>
      <c r="C411" s="1">
        <f>IFERROR(__xludf.DUMMYFUNCTION("""COMPUTED_VALUE"""),49.06)</f>
        <v>49.06</v>
      </c>
      <c r="D411" s="1">
        <f>IFERROR(__xludf.DUMMYFUNCTION("""COMPUTED_VALUE"""),48.0)</f>
        <v>48</v>
      </c>
      <c r="E411" s="1">
        <f>IFERROR(__xludf.DUMMYFUNCTION("""COMPUTED_VALUE"""),48.7)</f>
        <v>48.7</v>
      </c>
      <c r="F411" s="1">
        <f>IFERROR(__xludf.DUMMYFUNCTION("""COMPUTED_VALUE"""),39454.0)</f>
        <v>39454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IFERROR(__xludf.DUMMYFUNCTION("""COMPUTED_VALUE"""),47.39)</f>
        <v>47.39</v>
      </c>
      <c r="C412" s="1">
        <f>IFERROR(__xludf.DUMMYFUNCTION("""COMPUTED_VALUE"""),48.87)</f>
        <v>48.87</v>
      </c>
      <c r="D412" s="1">
        <f>IFERROR(__xludf.DUMMYFUNCTION("""COMPUTED_VALUE"""),47.37)</f>
        <v>47.37</v>
      </c>
      <c r="E412" s="1">
        <f>IFERROR(__xludf.DUMMYFUNCTION("""COMPUTED_VALUE"""),48.0)</f>
        <v>48</v>
      </c>
      <c r="F412" s="1">
        <f>IFERROR(__xludf.DUMMYFUNCTION("""COMPUTED_VALUE"""),103665.0)</f>
        <v>103665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IFERROR(__xludf.DUMMYFUNCTION("""COMPUTED_VALUE"""),47.17)</f>
        <v>47.17</v>
      </c>
      <c r="C413" s="1">
        <f>IFERROR(__xludf.DUMMYFUNCTION("""COMPUTED_VALUE"""),48.48)</f>
        <v>48.48</v>
      </c>
      <c r="D413" s="1">
        <f>IFERROR(__xludf.DUMMYFUNCTION("""COMPUTED_VALUE"""),47.17)</f>
        <v>47.17</v>
      </c>
      <c r="E413" s="1">
        <f>IFERROR(__xludf.DUMMYFUNCTION("""COMPUTED_VALUE"""),48.13)</f>
        <v>48.13</v>
      </c>
      <c r="F413" s="1">
        <f>IFERROR(__xludf.DUMMYFUNCTION("""COMPUTED_VALUE"""),53766.0)</f>
        <v>53766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IFERROR(__xludf.DUMMYFUNCTION("""COMPUTED_VALUE"""),49.28)</f>
        <v>49.28</v>
      </c>
      <c r="C414" s="1">
        <f>IFERROR(__xludf.DUMMYFUNCTION("""COMPUTED_VALUE"""),49.28)</f>
        <v>49.28</v>
      </c>
      <c r="D414" s="1">
        <f>IFERROR(__xludf.DUMMYFUNCTION("""COMPUTED_VALUE"""),47.72)</f>
        <v>47.72</v>
      </c>
      <c r="E414" s="1">
        <f>IFERROR(__xludf.DUMMYFUNCTION("""COMPUTED_VALUE"""),48.12)</f>
        <v>48.12</v>
      </c>
      <c r="F414" s="1">
        <f>IFERROR(__xludf.DUMMYFUNCTION("""COMPUTED_VALUE"""),58842.0)</f>
        <v>58842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IFERROR(__xludf.DUMMYFUNCTION("""COMPUTED_VALUE"""),48.19)</f>
        <v>48.19</v>
      </c>
      <c r="C415" s="1">
        <f>IFERROR(__xludf.DUMMYFUNCTION("""COMPUTED_VALUE"""),49.93)</f>
        <v>49.93</v>
      </c>
      <c r="D415" s="1">
        <f>IFERROR(__xludf.DUMMYFUNCTION("""COMPUTED_VALUE"""),46.7)</f>
        <v>46.7</v>
      </c>
      <c r="E415" s="1">
        <f>IFERROR(__xludf.DUMMYFUNCTION("""COMPUTED_VALUE"""),49.72)</f>
        <v>49.72</v>
      </c>
      <c r="F415" s="1">
        <f>IFERROR(__xludf.DUMMYFUNCTION("""COMPUTED_VALUE"""),47419.0)</f>
        <v>47419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IFERROR(__xludf.DUMMYFUNCTION("""COMPUTED_VALUE"""),49.53)</f>
        <v>49.53</v>
      </c>
      <c r="C416" s="1">
        <f>IFERROR(__xludf.DUMMYFUNCTION("""COMPUTED_VALUE"""),50.61)</f>
        <v>50.61</v>
      </c>
      <c r="D416" s="1">
        <f>IFERROR(__xludf.DUMMYFUNCTION("""COMPUTED_VALUE"""),48.99)</f>
        <v>48.99</v>
      </c>
      <c r="E416" s="1">
        <f>IFERROR(__xludf.DUMMYFUNCTION("""COMPUTED_VALUE"""),50.27)</f>
        <v>50.27</v>
      </c>
      <c r="F416" s="1">
        <f>IFERROR(__xludf.DUMMYFUNCTION("""COMPUTED_VALUE"""),42217.0)</f>
        <v>42217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IFERROR(__xludf.DUMMYFUNCTION("""COMPUTED_VALUE"""),50.51)</f>
        <v>50.51</v>
      </c>
      <c r="C417" s="1">
        <f>IFERROR(__xludf.DUMMYFUNCTION("""COMPUTED_VALUE"""),50.9)</f>
        <v>50.9</v>
      </c>
      <c r="D417" s="1">
        <f>IFERROR(__xludf.DUMMYFUNCTION("""COMPUTED_VALUE"""),48.52)</f>
        <v>48.52</v>
      </c>
      <c r="E417" s="1">
        <f>IFERROR(__xludf.DUMMYFUNCTION("""COMPUTED_VALUE"""),48.57)</f>
        <v>48.57</v>
      </c>
      <c r="F417" s="1">
        <f>IFERROR(__xludf.DUMMYFUNCTION("""COMPUTED_VALUE"""),54465.0)</f>
        <v>54465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IFERROR(__xludf.DUMMYFUNCTION("""COMPUTED_VALUE"""),48.31)</f>
        <v>48.31</v>
      </c>
      <c r="C418" s="1">
        <f>IFERROR(__xludf.DUMMYFUNCTION("""COMPUTED_VALUE"""),49.31)</f>
        <v>49.31</v>
      </c>
      <c r="D418" s="1">
        <f>IFERROR(__xludf.DUMMYFUNCTION("""COMPUTED_VALUE"""),47.56)</f>
        <v>47.56</v>
      </c>
      <c r="E418" s="1">
        <f>IFERROR(__xludf.DUMMYFUNCTION("""COMPUTED_VALUE"""),49.17)</f>
        <v>49.17</v>
      </c>
      <c r="F418" s="1">
        <f>IFERROR(__xludf.DUMMYFUNCTION("""COMPUTED_VALUE"""),31673.0)</f>
        <v>31673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IFERROR(__xludf.DUMMYFUNCTION("""COMPUTED_VALUE"""),49.56)</f>
        <v>49.56</v>
      </c>
      <c r="C419" s="1">
        <f>IFERROR(__xludf.DUMMYFUNCTION("""COMPUTED_VALUE"""),50.71)</f>
        <v>50.71</v>
      </c>
      <c r="D419" s="1">
        <f>IFERROR(__xludf.DUMMYFUNCTION("""COMPUTED_VALUE"""),49.38)</f>
        <v>49.38</v>
      </c>
      <c r="E419" s="1">
        <f>IFERROR(__xludf.DUMMYFUNCTION("""COMPUTED_VALUE"""),50.68)</f>
        <v>50.68</v>
      </c>
      <c r="F419" s="1">
        <f>IFERROR(__xludf.DUMMYFUNCTION("""COMPUTED_VALUE"""),33830.0)</f>
        <v>33830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IFERROR(__xludf.DUMMYFUNCTION("""COMPUTED_VALUE"""),50.38)</f>
        <v>50.38</v>
      </c>
      <c r="C420" s="1">
        <f>IFERROR(__xludf.DUMMYFUNCTION("""COMPUTED_VALUE"""),51.45)</f>
        <v>51.45</v>
      </c>
      <c r="D420" s="1">
        <f>IFERROR(__xludf.DUMMYFUNCTION("""COMPUTED_VALUE"""),49.94)</f>
        <v>49.94</v>
      </c>
      <c r="E420" s="1">
        <f>IFERROR(__xludf.DUMMYFUNCTION("""COMPUTED_VALUE"""),51.17)</f>
        <v>51.17</v>
      </c>
      <c r="F420" s="1">
        <f>IFERROR(__xludf.DUMMYFUNCTION("""COMPUTED_VALUE"""),52031.0)</f>
        <v>52031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IFERROR(__xludf.DUMMYFUNCTION("""COMPUTED_VALUE"""),51.44)</f>
        <v>51.44</v>
      </c>
      <c r="C421" s="1">
        <f>IFERROR(__xludf.DUMMYFUNCTION("""COMPUTED_VALUE"""),51.48)</f>
        <v>51.48</v>
      </c>
      <c r="D421" s="1">
        <f>IFERROR(__xludf.DUMMYFUNCTION("""COMPUTED_VALUE"""),49.46)</f>
        <v>49.46</v>
      </c>
      <c r="E421" s="1">
        <f>IFERROR(__xludf.DUMMYFUNCTION("""COMPUTED_VALUE"""),50.61)</f>
        <v>50.61</v>
      </c>
      <c r="F421" s="1">
        <f>IFERROR(__xludf.DUMMYFUNCTION("""COMPUTED_VALUE"""),48444.0)</f>
        <v>48444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IFERROR(__xludf.DUMMYFUNCTION("""COMPUTED_VALUE"""),50.47)</f>
        <v>50.47</v>
      </c>
      <c r="C422" s="1">
        <f>IFERROR(__xludf.DUMMYFUNCTION("""COMPUTED_VALUE"""),50.77)</f>
        <v>50.77</v>
      </c>
      <c r="D422" s="1">
        <f>IFERROR(__xludf.DUMMYFUNCTION("""COMPUTED_VALUE"""),48.89)</f>
        <v>48.89</v>
      </c>
      <c r="E422" s="1">
        <f>IFERROR(__xludf.DUMMYFUNCTION("""COMPUTED_VALUE"""),49.58)</f>
        <v>49.58</v>
      </c>
      <c r="F422" s="1">
        <f>IFERROR(__xludf.DUMMYFUNCTION("""COMPUTED_VALUE"""),44893.0)</f>
        <v>44893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IFERROR(__xludf.DUMMYFUNCTION("""COMPUTED_VALUE"""),48.35)</f>
        <v>48.35</v>
      </c>
      <c r="C423" s="1">
        <f>IFERROR(__xludf.DUMMYFUNCTION("""COMPUTED_VALUE"""),49.22)</f>
        <v>49.22</v>
      </c>
      <c r="D423" s="1">
        <f>IFERROR(__xludf.DUMMYFUNCTION("""COMPUTED_VALUE"""),47.46)</f>
        <v>47.46</v>
      </c>
      <c r="E423" s="1">
        <f>IFERROR(__xludf.DUMMYFUNCTION("""COMPUTED_VALUE"""),47.82)</f>
        <v>47.82</v>
      </c>
      <c r="F423" s="1">
        <f>IFERROR(__xludf.DUMMYFUNCTION("""COMPUTED_VALUE"""),49524.0)</f>
        <v>49524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IFERROR(__xludf.DUMMYFUNCTION("""COMPUTED_VALUE"""),46.62)</f>
        <v>46.62</v>
      </c>
      <c r="C424" s="1">
        <f>IFERROR(__xludf.DUMMYFUNCTION("""COMPUTED_VALUE"""),47.7)</f>
        <v>47.7</v>
      </c>
      <c r="D424" s="1">
        <f>IFERROR(__xludf.DUMMYFUNCTION("""COMPUTED_VALUE"""),46.01)</f>
        <v>46.01</v>
      </c>
      <c r="E424" s="1">
        <f>IFERROR(__xludf.DUMMYFUNCTION("""COMPUTED_VALUE"""),47.59)</f>
        <v>47.59</v>
      </c>
      <c r="F424" s="1">
        <f>IFERROR(__xludf.DUMMYFUNCTION("""COMPUTED_VALUE"""),60950.0)</f>
        <v>60950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IFERROR(__xludf.DUMMYFUNCTION("""COMPUTED_VALUE"""),48.17)</f>
        <v>48.17</v>
      </c>
      <c r="C425" s="1">
        <f>IFERROR(__xludf.DUMMYFUNCTION("""COMPUTED_VALUE"""),49.08)</f>
        <v>49.08</v>
      </c>
      <c r="D425" s="1">
        <f>IFERROR(__xludf.DUMMYFUNCTION("""COMPUTED_VALUE"""),47.81)</f>
        <v>47.81</v>
      </c>
      <c r="E425" s="1">
        <f>IFERROR(__xludf.DUMMYFUNCTION("""COMPUTED_VALUE"""),49.04)</f>
        <v>49.04</v>
      </c>
      <c r="F425" s="1">
        <f>IFERROR(__xludf.DUMMYFUNCTION("""COMPUTED_VALUE"""),53379.0)</f>
        <v>53379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IFERROR(__xludf.DUMMYFUNCTION("""COMPUTED_VALUE"""),48.61)</f>
        <v>48.61</v>
      </c>
      <c r="C426" s="1">
        <f>IFERROR(__xludf.DUMMYFUNCTION("""COMPUTED_VALUE"""),49.39)</f>
        <v>49.39</v>
      </c>
      <c r="D426" s="1">
        <f>IFERROR(__xludf.DUMMYFUNCTION("""COMPUTED_VALUE"""),48.4)</f>
        <v>48.4</v>
      </c>
      <c r="E426" s="1">
        <f>IFERROR(__xludf.DUMMYFUNCTION("""COMPUTED_VALUE"""),48.89)</f>
        <v>48.89</v>
      </c>
      <c r="F426" s="1">
        <f>IFERROR(__xludf.DUMMYFUNCTION("""COMPUTED_VALUE"""),37427.0)</f>
        <v>37427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IFERROR(__xludf.DUMMYFUNCTION("""COMPUTED_VALUE"""),48.46)</f>
        <v>48.46</v>
      </c>
      <c r="C427" s="1">
        <f>IFERROR(__xludf.DUMMYFUNCTION("""COMPUTED_VALUE"""),48.46)</f>
        <v>48.46</v>
      </c>
      <c r="D427" s="1">
        <f>IFERROR(__xludf.DUMMYFUNCTION("""COMPUTED_VALUE"""),46.92)</f>
        <v>46.92</v>
      </c>
      <c r="E427" s="1">
        <f>IFERROR(__xludf.DUMMYFUNCTION("""COMPUTED_VALUE"""),47.57)</f>
        <v>47.57</v>
      </c>
      <c r="F427" s="1">
        <f>IFERROR(__xludf.DUMMYFUNCTION("""COMPUTED_VALUE"""),57284.0)</f>
        <v>57284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IFERROR(__xludf.DUMMYFUNCTION("""COMPUTED_VALUE"""),46.81)</f>
        <v>46.81</v>
      </c>
      <c r="C428" s="1">
        <f>IFERROR(__xludf.DUMMYFUNCTION("""COMPUTED_VALUE"""),47.95)</f>
        <v>47.95</v>
      </c>
      <c r="D428" s="1">
        <f>IFERROR(__xludf.DUMMYFUNCTION("""COMPUTED_VALUE"""),46.8)</f>
        <v>46.8</v>
      </c>
      <c r="E428" s="1">
        <f>IFERROR(__xludf.DUMMYFUNCTION("""COMPUTED_VALUE"""),47.79)</f>
        <v>47.79</v>
      </c>
      <c r="F428" s="1">
        <f>IFERROR(__xludf.DUMMYFUNCTION("""COMPUTED_VALUE"""),26510.0)</f>
        <v>26510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IFERROR(__xludf.DUMMYFUNCTION("""COMPUTED_VALUE"""),47.87)</f>
        <v>47.87</v>
      </c>
      <c r="C429" s="1">
        <f>IFERROR(__xludf.DUMMYFUNCTION("""COMPUTED_VALUE"""),48.28)</f>
        <v>48.28</v>
      </c>
      <c r="D429" s="1">
        <f>IFERROR(__xludf.DUMMYFUNCTION("""COMPUTED_VALUE"""),47.32)</f>
        <v>47.32</v>
      </c>
      <c r="E429" s="1">
        <f>IFERROR(__xludf.DUMMYFUNCTION("""COMPUTED_VALUE"""),48.19)</f>
        <v>48.19</v>
      </c>
      <c r="F429" s="1">
        <f>IFERROR(__xludf.DUMMYFUNCTION("""COMPUTED_VALUE"""),41470.0)</f>
        <v>41470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IFERROR(__xludf.DUMMYFUNCTION("""COMPUTED_VALUE"""),48.71)</f>
        <v>48.71</v>
      </c>
      <c r="C430" s="1">
        <f>IFERROR(__xludf.DUMMYFUNCTION("""COMPUTED_VALUE"""),49.3)</f>
        <v>49.3</v>
      </c>
      <c r="D430" s="1">
        <f>IFERROR(__xludf.DUMMYFUNCTION("""COMPUTED_VALUE"""),47.44)</f>
        <v>47.44</v>
      </c>
      <c r="E430" s="1">
        <f>IFERROR(__xludf.DUMMYFUNCTION("""COMPUTED_VALUE"""),48.84)</f>
        <v>48.84</v>
      </c>
      <c r="F430" s="1">
        <f>IFERROR(__xludf.DUMMYFUNCTION("""COMPUTED_VALUE"""),37959.0)</f>
        <v>37959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IFERROR(__xludf.DUMMYFUNCTION("""COMPUTED_VALUE"""),49.3)</f>
        <v>49.3</v>
      </c>
      <c r="C431" s="1">
        <f>IFERROR(__xludf.DUMMYFUNCTION("""COMPUTED_VALUE"""),49.34)</f>
        <v>49.34</v>
      </c>
      <c r="D431" s="1">
        <f>IFERROR(__xludf.DUMMYFUNCTION("""COMPUTED_VALUE"""),48.31)</f>
        <v>48.31</v>
      </c>
      <c r="E431" s="1">
        <f>IFERROR(__xludf.DUMMYFUNCTION("""COMPUTED_VALUE"""),49.34)</f>
        <v>49.34</v>
      </c>
      <c r="F431" s="1">
        <f>IFERROR(__xludf.DUMMYFUNCTION("""COMPUTED_VALUE"""),20863.0)</f>
        <v>20863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IFERROR(__xludf.DUMMYFUNCTION("""COMPUTED_VALUE"""),49.31)</f>
        <v>49.31</v>
      </c>
      <c r="C432" s="1">
        <f>IFERROR(__xludf.DUMMYFUNCTION("""COMPUTED_VALUE"""),50.0)</f>
        <v>50</v>
      </c>
      <c r="D432" s="1">
        <f>IFERROR(__xludf.DUMMYFUNCTION("""COMPUTED_VALUE"""),48.99)</f>
        <v>48.99</v>
      </c>
      <c r="E432" s="1">
        <f>IFERROR(__xludf.DUMMYFUNCTION("""COMPUTED_VALUE"""),49.24)</f>
        <v>49.24</v>
      </c>
      <c r="F432" s="1">
        <f>IFERROR(__xludf.DUMMYFUNCTION("""COMPUTED_VALUE"""),66107.0)</f>
        <v>66107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IFERROR(__xludf.DUMMYFUNCTION("""COMPUTED_VALUE"""),48.42)</f>
        <v>48.42</v>
      </c>
      <c r="C433" s="1">
        <f>IFERROR(__xludf.DUMMYFUNCTION("""COMPUTED_VALUE"""),48.95)</f>
        <v>48.95</v>
      </c>
      <c r="D433" s="1">
        <f>IFERROR(__xludf.DUMMYFUNCTION("""COMPUTED_VALUE"""),47.41)</f>
        <v>47.41</v>
      </c>
      <c r="E433" s="1">
        <f>IFERROR(__xludf.DUMMYFUNCTION("""COMPUTED_VALUE"""),48.42)</f>
        <v>48.42</v>
      </c>
      <c r="F433" s="1">
        <f>IFERROR(__xludf.DUMMYFUNCTION("""COMPUTED_VALUE"""),51307.0)</f>
        <v>51307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IFERROR(__xludf.DUMMYFUNCTION("""COMPUTED_VALUE"""),48.62)</f>
        <v>48.62</v>
      </c>
      <c r="C434" s="1">
        <f>IFERROR(__xludf.DUMMYFUNCTION("""COMPUTED_VALUE"""),49.0)</f>
        <v>49</v>
      </c>
      <c r="D434" s="1">
        <f>IFERROR(__xludf.DUMMYFUNCTION("""COMPUTED_VALUE"""),47.65)</f>
        <v>47.65</v>
      </c>
      <c r="E434" s="1">
        <f>IFERROR(__xludf.DUMMYFUNCTION("""COMPUTED_VALUE"""),47.67)</f>
        <v>47.67</v>
      </c>
      <c r="F434" s="1">
        <f>IFERROR(__xludf.DUMMYFUNCTION("""COMPUTED_VALUE"""),29365.0)</f>
        <v>29365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IFERROR(__xludf.DUMMYFUNCTION("""COMPUTED_VALUE"""),47.78)</f>
        <v>47.78</v>
      </c>
      <c r="C435" s="1">
        <f>IFERROR(__xludf.DUMMYFUNCTION("""COMPUTED_VALUE"""),48.26)</f>
        <v>48.26</v>
      </c>
      <c r="D435" s="1">
        <f>IFERROR(__xludf.DUMMYFUNCTION("""COMPUTED_VALUE"""),46.53)</f>
        <v>46.53</v>
      </c>
      <c r="E435" s="1">
        <f>IFERROR(__xludf.DUMMYFUNCTION("""COMPUTED_VALUE"""),46.69)</f>
        <v>46.69</v>
      </c>
      <c r="F435" s="1">
        <f>IFERROR(__xludf.DUMMYFUNCTION("""COMPUTED_VALUE"""),62216.0)</f>
        <v>62216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IFERROR(__xludf.DUMMYFUNCTION("""COMPUTED_VALUE"""),45.26)</f>
        <v>45.26</v>
      </c>
      <c r="C436" s="1">
        <f>IFERROR(__xludf.DUMMYFUNCTION("""COMPUTED_VALUE"""),47.47)</f>
        <v>47.47</v>
      </c>
      <c r="D436" s="1">
        <f>IFERROR(__xludf.DUMMYFUNCTION("""COMPUTED_VALUE"""),45.26)</f>
        <v>45.26</v>
      </c>
      <c r="E436" s="1">
        <f>IFERROR(__xludf.DUMMYFUNCTION("""COMPUTED_VALUE"""),46.92)</f>
        <v>46.92</v>
      </c>
      <c r="F436" s="1">
        <f>IFERROR(__xludf.DUMMYFUNCTION("""COMPUTED_VALUE"""),87951.0)</f>
        <v>87951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IFERROR(__xludf.DUMMYFUNCTION("""COMPUTED_VALUE"""),47.07)</f>
        <v>47.07</v>
      </c>
      <c r="C437" s="1">
        <f>IFERROR(__xludf.DUMMYFUNCTION("""COMPUTED_VALUE"""),48.35)</f>
        <v>48.35</v>
      </c>
      <c r="D437" s="1">
        <f>IFERROR(__xludf.DUMMYFUNCTION("""COMPUTED_VALUE"""),46.77)</f>
        <v>46.77</v>
      </c>
      <c r="E437" s="1">
        <f>IFERROR(__xludf.DUMMYFUNCTION("""COMPUTED_VALUE"""),47.59)</f>
        <v>47.59</v>
      </c>
      <c r="F437" s="1">
        <f>IFERROR(__xludf.DUMMYFUNCTION("""COMPUTED_VALUE"""),67811.0)</f>
        <v>67811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IFERROR(__xludf.DUMMYFUNCTION("""COMPUTED_VALUE"""),48.0)</f>
        <v>48</v>
      </c>
      <c r="C438" s="1">
        <f>IFERROR(__xludf.DUMMYFUNCTION("""COMPUTED_VALUE"""),48.0)</f>
        <v>48</v>
      </c>
      <c r="D438" s="1">
        <f>IFERROR(__xludf.DUMMYFUNCTION("""COMPUTED_VALUE"""),46.56)</f>
        <v>46.56</v>
      </c>
      <c r="E438" s="1">
        <f>IFERROR(__xludf.DUMMYFUNCTION("""COMPUTED_VALUE"""),47.58)</f>
        <v>47.58</v>
      </c>
      <c r="F438" s="1">
        <f>IFERROR(__xludf.DUMMYFUNCTION("""COMPUTED_VALUE"""),56952.0)</f>
        <v>56952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IFERROR(__xludf.DUMMYFUNCTION("""COMPUTED_VALUE"""),48.48)</f>
        <v>48.48</v>
      </c>
      <c r="C439" s="1">
        <f>IFERROR(__xludf.DUMMYFUNCTION("""COMPUTED_VALUE"""),51.06)</f>
        <v>51.06</v>
      </c>
      <c r="D439" s="1">
        <f>IFERROR(__xludf.DUMMYFUNCTION("""COMPUTED_VALUE"""),48.15)</f>
        <v>48.15</v>
      </c>
      <c r="E439" s="1">
        <f>IFERROR(__xludf.DUMMYFUNCTION("""COMPUTED_VALUE"""),50.44)</f>
        <v>50.44</v>
      </c>
      <c r="F439" s="1">
        <f>IFERROR(__xludf.DUMMYFUNCTION("""COMPUTED_VALUE"""),100856.0)</f>
        <v>100856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IFERROR(__xludf.DUMMYFUNCTION("""COMPUTED_VALUE"""),50.44)</f>
        <v>50.44</v>
      </c>
      <c r="C440" s="1">
        <f>IFERROR(__xludf.DUMMYFUNCTION("""COMPUTED_VALUE"""),50.48)</f>
        <v>50.48</v>
      </c>
      <c r="D440" s="1">
        <f>IFERROR(__xludf.DUMMYFUNCTION("""COMPUTED_VALUE"""),47.83)</f>
        <v>47.83</v>
      </c>
      <c r="E440" s="1">
        <f>IFERROR(__xludf.DUMMYFUNCTION("""COMPUTED_VALUE"""),47.9)</f>
        <v>47.9</v>
      </c>
      <c r="F440" s="1">
        <f>IFERROR(__xludf.DUMMYFUNCTION("""COMPUTED_VALUE"""),58040.0)</f>
        <v>58040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IFERROR(__xludf.DUMMYFUNCTION("""COMPUTED_VALUE"""),48.98)</f>
        <v>48.98</v>
      </c>
      <c r="C441" s="1">
        <f>IFERROR(__xludf.DUMMYFUNCTION("""COMPUTED_VALUE"""),49.57)</f>
        <v>49.57</v>
      </c>
      <c r="D441" s="1">
        <f>IFERROR(__xludf.DUMMYFUNCTION("""COMPUTED_VALUE"""),47.97)</f>
        <v>47.97</v>
      </c>
      <c r="E441" s="1">
        <f>IFERROR(__xludf.DUMMYFUNCTION("""COMPUTED_VALUE"""),48.66)</f>
        <v>48.66</v>
      </c>
      <c r="F441" s="1">
        <f>IFERROR(__xludf.DUMMYFUNCTION("""COMPUTED_VALUE"""),36305.0)</f>
        <v>36305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IFERROR(__xludf.DUMMYFUNCTION("""COMPUTED_VALUE"""),47.87)</f>
        <v>47.87</v>
      </c>
      <c r="C442" s="1">
        <f>IFERROR(__xludf.DUMMYFUNCTION("""COMPUTED_VALUE"""),49.71)</f>
        <v>49.71</v>
      </c>
      <c r="D442" s="1">
        <f>IFERROR(__xludf.DUMMYFUNCTION("""COMPUTED_VALUE"""),47.87)</f>
        <v>47.87</v>
      </c>
      <c r="E442" s="1">
        <f>IFERROR(__xludf.DUMMYFUNCTION("""COMPUTED_VALUE"""),48.05)</f>
        <v>48.05</v>
      </c>
      <c r="F442" s="1">
        <f>IFERROR(__xludf.DUMMYFUNCTION("""COMPUTED_VALUE"""),52739.0)</f>
        <v>52739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IFERROR(__xludf.DUMMYFUNCTION("""COMPUTED_VALUE"""),47.65)</f>
        <v>47.65</v>
      </c>
      <c r="C443" s="1">
        <f>IFERROR(__xludf.DUMMYFUNCTION("""COMPUTED_VALUE"""),48.94)</f>
        <v>48.94</v>
      </c>
      <c r="D443" s="1">
        <f>IFERROR(__xludf.DUMMYFUNCTION("""COMPUTED_VALUE"""),45.47)</f>
        <v>45.47</v>
      </c>
      <c r="E443" s="1">
        <f>IFERROR(__xludf.DUMMYFUNCTION("""COMPUTED_VALUE"""),45.51)</f>
        <v>45.51</v>
      </c>
      <c r="F443" s="1">
        <f>IFERROR(__xludf.DUMMYFUNCTION("""COMPUTED_VALUE"""),66616.0)</f>
        <v>66616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IFERROR(__xludf.DUMMYFUNCTION("""COMPUTED_VALUE"""),45.2)</f>
        <v>45.2</v>
      </c>
      <c r="C444" s="1">
        <f>IFERROR(__xludf.DUMMYFUNCTION("""COMPUTED_VALUE"""),48.05)</f>
        <v>48.05</v>
      </c>
      <c r="D444" s="1">
        <f>IFERROR(__xludf.DUMMYFUNCTION("""COMPUTED_VALUE"""),45.12)</f>
        <v>45.12</v>
      </c>
      <c r="E444" s="1">
        <f>IFERROR(__xludf.DUMMYFUNCTION("""COMPUTED_VALUE"""),47.78)</f>
        <v>47.78</v>
      </c>
      <c r="F444" s="1">
        <f>IFERROR(__xludf.DUMMYFUNCTION("""COMPUTED_VALUE"""),78047.0)</f>
        <v>78047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IFERROR(__xludf.DUMMYFUNCTION("""COMPUTED_VALUE"""),47.81)</f>
        <v>47.81</v>
      </c>
      <c r="C445" s="1">
        <f>IFERROR(__xludf.DUMMYFUNCTION("""COMPUTED_VALUE"""),48.35)</f>
        <v>48.35</v>
      </c>
      <c r="D445" s="1">
        <f>IFERROR(__xludf.DUMMYFUNCTION("""COMPUTED_VALUE"""),46.91)</f>
        <v>46.91</v>
      </c>
      <c r="E445" s="1">
        <f>IFERROR(__xludf.DUMMYFUNCTION("""COMPUTED_VALUE"""),48.0)</f>
        <v>48</v>
      </c>
      <c r="F445" s="1">
        <f>IFERROR(__xludf.DUMMYFUNCTION("""COMPUTED_VALUE"""),47407.0)</f>
        <v>47407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IFERROR(__xludf.DUMMYFUNCTION("""COMPUTED_VALUE"""),48.0)</f>
        <v>48</v>
      </c>
      <c r="C446" s="1">
        <f>IFERROR(__xludf.DUMMYFUNCTION("""COMPUTED_VALUE"""),48.28)</f>
        <v>48.28</v>
      </c>
      <c r="D446" s="1">
        <f>IFERROR(__xludf.DUMMYFUNCTION("""COMPUTED_VALUE"""),47.3)</f>
        <v>47.3</v>
      </c>
      <c r="E446" s="1">
        <f>IFERROR(__xludf.DUMMYFUNCTION("""COMPUTED_VALUE"""),48.19)</f>
        <v>48.19</v>
      </c>
      <c r="F446" s="1">
        <f>IFERROR(__xludf.DUMMYFUNCTION("""COMPUTED_VALUE"""),44532.0)</f>
        <v>44532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IFERROR(__xludf.DUMMYFUNCTION("""COMPUTED_VALUE"""),48.27)</f>
        <v>48.27</v>
      </c>
      <c r="C447" s="1">
        <f>IFERROR(__xludf.DUMMYFUNCTION("""COMPUTED_VALUE"""),49.63)</f>
        <v>49.63</v>
      </c>
      <c r="D447" s="1">
        <f>IFERROR(__xludf.DUMMYFUNCTION("""COMPUTED_VALUE"""),48.0)</f>
        <v>48</v>
      </c>
      <c r="E447" s="1">
        <f>IFERROR(__xludf.DUMMYFUNCTION("""COMPUTED_VALUE"""),48.78)</f>
        <v>48.78</v>
      </c>
      <c r="F447" s="1">
        <f>IFERROR(__xludf.DUMMYFUNCTION("""COMPUTED_VALUE"""),65932.0)</f>
        <v>65932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IFERROR(__xludf.DUMMYFUNCTION("""COMPUTED_VALUE"""),49.65)</f>
        <v>49.65</v>
      </c>
      <c r="C448" s="1">
        <f>IFERROR(__xludf.DUMMYFUNCTION("""COMPUTED_VALUE"""),49.65)</f>
        <v>49.65</v>
      </c>
      <c r="D448" s="1">
        <f>IFERROR(__xludf.DUMMYFUNCTION("""COMPUTED_VALUE"""),47.46)</f>
        <v>47.46</v>
      </c>
      <c r="E448" s="1">
        <f>IFERROR(__xludf.DUMMYFUNCTION("""COMPUTED_VALUE"""),48.72)</f>
        <v>48.72</v>
      </c>
      <c r="F448" s="1">
        <f>IFERROR(__xludf.DUMMYFUNCTION("""COMPUTED_VALUE"""),73178.0)</f>
        <v>73178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IFERROR(__xludf.DUMMYFUNCTION("""COMPUTED_VALUE"""),48.23)</f>
        <v>48.23</v>
      </c>
      <c r="C449" s="1">
        <f>IFERROR(__xludf.DUMMYFUNCTION("""COMPUTED_VALUE"""),48.97)</f>
        <v>48.97</v>
      </c>
      <c r="D449" s="1">
        <f>IFERROR(__xludf.DUMMYFUNCTION("""COMPUTED_VALUE"""),48.08)</f>
        <v>48.08</v>
      </c>
      <c r="E449" s="1">
        <f>IFERROR(__xludf.DUMMYFUNCTION("""COMPUTED_VALUE"""),48.53)</f>
        <v>48.53</v>
      </c>
      <c r="F449" s="1">
        <f>IFERROR(__xludf.DUMMYFUNCTION("""COMPUTED_VALUE"""),40981.0)</f>
        <v>40981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IFERROR(__xludf.DUMMYFUNCTION("""COMPUTED_VALUE"""),49.03)</f>
        <v>49.03</v>
      </c>
      <c r="C450" s="1">
        <f>IFERROR(__xludf.DUMMYFUNCTION("""COMPUTED_VALUE"""),49.29)</f>
        <v>49.29</v>
      </c>
      <c r="D450" s="1">
        <f>IFERROR(__xludf.DUMMYFUNCTION("""COMPUTED_VALUE"""),48.67)</f>
        <v>48.67</v>
      </c>
      <c r="E450" s="1">
        <f>IFERROR(__xludf.DUMMYFUNCTION("""COMPUTED_VALUE"""),48.88)</f>
        <v>48.88</v>
      </c>
      <c r="F450" s="1">
        <f>IFERROR(__xludf.DUMMYFUNCTION("""COMPUTED_VALUE"""),46682.0)</f>
        <v>46682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IFERROR(__xludf.DUMMYFUNCTION("""COMPUTED_VALUE"""),48.68)</f>
        <v>48.68</v>
      </c>
      <c r="C451" s="1">
        <f>IFERROR(__xludf.DUMMYFUNCTION("""COMPUTED_VALUE"""),49.23)</f>
        <v>49.23</v>
      </c>
      <c r="D451" s="1">
        <f>IFERROR(__xludf.DUMMYFUNCTION("""COMPUTED_VALUE"""),48.34)</f>
        <v>48.34</v>
      </c>
      <c r="E451" s="1">
        <f>IFERROR(__xludf.DUMMYFUNCTION("""COMPUTED_VALUE"""),49.09)</f>
        <v>49.09</v>
      </c>
      <c r="F451" s="1">
        <f>IFERROR(__xludf.DUMMYFUNCTION("""COMPUTED_VALUE"""),21586.0)</f>
        <v>21586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IFERROR(__xludf.DUMMYFUNCTION("""COMPUTED_VALUE"""),49.47)</f>
        <v>49.47</v>
      </c>
      <c r="C452" s="1">
        <f>IFERROR(__xludf.DUMMYFUNCTION("""COMPUTED_VALUE"""),50.0)</f>
        <v>50</v>
      </c>
      <c r="D452" s="1">
        <f>IFERROR(__xludf.DUMMYFUNCTION("""COMPUTED_VALUE"""),49.19)</f>
        <v>49.19</v>
      </c>
      <c r="E452" s="1">
        <f>IFERROR(__xludf.DUMMYFUNCTION("""COMPUTED_VALUE"""),49.87)</f>
        <v>49.87</v>
      </c>
      <c r="F452" s="1">
        <f>IFERROR(__xludf.DUMMYFUNCTION("""COMPUTED_VALUE"""),30962.0)</f>
        <v>30962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IFERROR(__xludf.DUMMYFUNCTION("""COMPUTED_VALUE"""),49.67)</f>
        <v>49.67</v>
      </c>
      <c r="C453" s="1">
        <f>IFERROR(__xludf.DUMMYFUNCTION("""COMPUTED_VALUE"""),49.67)</f>
        <v>49.67</v>
      </c>
      <c r="D453" s="1">
        <f>IFERROR(__xludf.DUMMYFUNCTION("""COMPUTED_VALUE"""),47.97)</f>
        <v>47.97</v>
      </c>
      <c r="E453" s="1">
        <f>IFERROR(__xludf.DUMMYFUNCTION("""COMPUTED_VALUE"""),48.48)</f>
        <v>48.48</v>
      </c>
      <c r="F453" s="1">
        <f>IFERROR(__xludf.DUMMYFUNCTION("""COMPUTED_VALUE"""),35317.0)</f>
        <v>35317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IFERROR(__xludf.DUMMYFUNCTION("""COMPUTED_VALUE"""),48.57)</f>
        <v>48.57</v>
      </c>
      <c r="C454" s="1">
        <f>IFERROR(__xludf.DUMMYFUNCTION("""COMPUTED_VALUE"""),50.17)</f>
        <v>50.17</v>
      </c>
      <c r="D454" s="1">
        <f>IFERROR(__xludf.DUMMYFUNCTION("""COMPUTED_VALUE"""),48.11)</f>
        <v>48.11</v>
      </c>
      <c r="E454" s="1">
        <f>IFERROR(__xludf.DUMMYFUNCTION("""COMPUTED_VALUE"""),49.92)</f>
        <v>49.92</v>
      </c>
      <c r="F454" s="1">
        <f>IFERROR(__xludf.DUMMYFUNCTION("""COMPUTED_VALUE"""),36955.0)</f>
        <v>36955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IFERROR(__xludf.DUMMYFUNCTION("""COMPUTED_VALUE"""),49.86)</f>
        <v>49.86</v>
      </c>
      <c r="C455" s="1">
        <f>IFERROR(__xludf.DUMMYFUNCTION("""COMPUTED_VALUE"""),50.22)</f>
        <v>50.22</v>
      </c>
      <c r="D455" s="1">
        <f>IFERROR(__xludf.DUMMYFUNCTION("""COMPUTED_VALUE"""),48.27)</f>
        <v>48.27</v>
      </c>
      <c r="E455" s="1">
        <f>IFERROR(__xludf.DUMMYFUNCTION("""COMPUTED_VALUE"""),48.51)</f>
        <v>48.51</v>
      </c>
      <c r="F455" s="1">
        <f>IFERROR(__xludf.DUMMYFUNCTION("""COMPUTED_VALUE"""),33984.0)</f>
        <v>33984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IFERROR(__xludf.DUMMYFUNCTION("""COMPUTED_VALUE"""),48.54)</f>
        <v>48.54</v>
      </c>
      <c r="C456" s="1">
        <f>IFERROR(__xludf.DUMMYFUNCTION("""COMPUTED_VALUE"""),49.05)</f>
        <v>49.05</v>
      </c>
      <c r="D456" s="1">
        <f>IFERROR(__xludf.DUMMYFUNCTION("""COMPUTED_VALUE"""),47.94)</f>
        <v>47.94</v>
      </c>
      <c r="E456" s="1">
        <f>IFERROR(__xludf.DUMMYFUNCTION("""COMPUTED_VALUE"""),48.95)</f>
        <v>48.95</v>
      </c>
      <c r="F456" s="1">
        <f>IFERROR(__xludf.DUMMYFUNCTION("""COMPUTED_VALUE"""),19027.0)</f>
        <v>19027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IFERROR(__xludf.DUMMYFUNCTION("""COMPUTED_VALUE"""),49.65)</f>
        <v>49.65</v>
      </c>
      <c r="C457" s="1">
        <f>IFERROR(__xludf.DUMMYFUNCTION("""COMPUTED_VALUE"""),49.65)</f>
        <v>49.65</v>
      </c>
      <c r="D457" s="1">
        <f>IFERROR(__xludf.DUMMYFUNCTION("""COMPUTED_VALUE"""),48.69)</f>
        <v>48.69</v>
      </c>
      <c r="E457" s="1">
        <f>IFERROR(__xludf.DUMMYFUNCTION("""COMPUTED_VALUE"""),49.49)</f>
        <v>49.49</v>
      </c>
      <c r="F457" s="1">
        <f>IFERROR(__xludf.DUMMYFUNCTION("""COMPUTED_VALUE"""),39336.0)</f>
        <v>39336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IFERROR(__xludf.DUMMYFUNCTION("""COMPUTED_VALUE"""),49.49)</f>
        <v>49.49</v>
      </c>
      <c r="C458" s="1">
        <f>IFERROR(__xludf.DUMMYFUNCTION("""COMPUTED_VALUE"""),50.02)</f>
        <v>50.02</v>
      </c>
      <c r="D458" s="1">
        <f>IFERROR(__xludf.DUMMYFUNCTION("""COMPUTED_VALUE"""),49.23)</f>
        <v>49.23</v>
      </c>
      <c r="E458" s="1">
        <f>IFERROR(__xludf.DUMMYFUNCTION("""COMPUTED_VALUE"""),50.01)</f>
        <v>50.01</v>
      </c>
      <c r="F458" s="1">
        <f>IFERROR(__xludf.DUMMYFUNCTION("""COMPUTED_VALUE"""),25711.0)</f>
        <v>25711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IFERROR(__xludf.DUMMYFUNCTION("""COMPUTED_VALUE"""),49.74)</f>
        <v>49.74</v>
      </c>
      <c r="C459" s="1">
        <f>IFERROR(__xludf.DUMMYFUNCTION("""COMPUTED_VALUE"""),49.74)</f>
        <v>49.74</v>
      </c>
      <c r="D459" s="1">
        <f>IFERROR(__xludf.DUMMYFUNCTION("""COMPUTED_VALUE"""),47.9)</f>
        <v>47.9</v>
      </c>
      <c r="E459" s="1">
        <f>IFERROR(__xludf.DUMMYFUNCTION("""COMPUTED_VALUE"""),48.12)</f>
        <v>48.12</v>
      </c>
      <c r="F459" s="1">
        <f>IFERROR(__xludf.DUMMYFUNCTION("""COMPUTED_VALUE"""),39703.0)</f>
        <v>39703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IFERROR(__xludf.DUMMYFUNCTION("""COMPUTED_VALUE"""),48.75)</f>
        <v>48.75</v>
      </c>
      <c r="C460" s="1">
        <f>IFERROR(__xludf.DUMMYFUNCTION("""COMPUTED_VALUE"""),49.79)</f>
        <v>49.79</v>
      </c>
      <c r="D460" s="1">
        <f>IFERROR(__xludf.DUMMYFUNCTION("""COMPUTED_VALUE"""),47.88)</f>
        <v>47.88</v>
      </c>
      <c r="E460" s="1">
        <f>IFERROR(__xludf.DUMMYFUNCTION("""COMPUTED_VALUE"""),49.69)</f>
        <v>49.69</v>
      </c>
      <c r="F460" s="1">
        <f>IFERROR(__xludf.DUMMYFUNCTION("""COMPUTED_VALUE"""),39070.0)</f>
        <v>39070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IFERROR(__xludf.DUMMYFUNCTION("""COMPUTED_VALUE"""),50.69)</f>
        <v>50.69</v>
      </c>
      <c r="C461" s="1">
        <f>IFERROR(__xludf.DUMMYFUNCTION("""COMPUTED_VALUE"""),53.36)</f>
        <v>53.36</v>
      </c>
      <c r="D461" s="1">
        <f>IFERROR(__xludf.DUMMYFUNCTION("""COMPUTED_VALUE"""),50.13)</f>
        <v>50.13</v>
      </c>
      <c r="E461" s="1">
        <f>IFERROR(__xludf.DUMMYFUNCTION("""COMPUTED_VALUE"""),53.35)</f>
        <v>53.35</v>
      </c>
      <c r="F461" s="1">
        <f>IFERROR(__xludf.DUMMYFUNCTION("""COMPUTED_VALUE"""),77912.0)</f>
        <v>77912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IFERROR(__xludf.DUMMYFUNCTION("""COMPUTED_VALUE"""),53.24)</f>
        <v>53.24</v>
      </c>
      <c r="C462" s="1">
        <f>IFERROR(__xludf.DUMMYFUNCTION("""COMPUTED_VALUE"""),53.93)</f>
        <v>53.93</v>
      </c>
      <c r="D462" s="1">
        <f>IFERROR(__xludf.DUMMYFUNCTION("""COMPUTED_VALUE"""),52.55)</f>
        <v>52.55</v>
      </c>
      <c r="E462" s="1">
        <f>IFERROR(__xludf.DUMMYFUNCTION("""COMPUTED_VALUE"""),52.77)</f>
        <v>52.77</v>
      </c>
      <c r="F462" s="1">
        <f>IFERROR(__xludf.DUMMYFUNCTION("""COMPUTED_VALUE"""),43480.0)</f>
        <v>43480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IFERROR(__xludf.DUMMYFUNCTION("""COMPUTED_VALUE"""),52.05)</f>
        <v>52.05</v>
      </c>
      <c r="C463" s="1">
        <f>IFERROR(__xludf.DUMMYFUNCTION("""COMPUTED_VALUE"""),52.47)</f>
        <v>52.47</v>
      </c>
      <c r="D463" s="1">
        <f>IFERROR(__xludf.DUMMYFUNCTION("""COMPUTED_VALUE"""),51.46)</f>
        <v>51.46</v>
      </c>
      <c r="E463" s="1">
        <f>IFERROR(__xludf.DUMMYFUNCTION("""COMPUTED_VALUE"""),51.55)</f>
        <v>51.55</v>
      </c>
      <c r="F463" s="1">
        <f>IFERROR(__xludf.DUMMYFUNCTION("""COMPUTED_VALUE"""),44950.0)</f>
        <v>44950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IFERROR(__xludf.DUMMYFUNCTION("""COMPUTED_VALUE"""),49.92)</f>
        <v>49.92</v>
      </c>
      <c r="C464" s="1">
        <f>IFERROR(__xludf.DUMMYFUNCTION("""COMPUTED_VALUE"""),50.95)</f>
        <v>50.95</v>
      </c>
      <c r="D464" s="1">
        <f>IFERROR(__xludf.DUMMYFUNCTION("""COMPUTED_VALUE"""),48.84)</f>
        <v>48.84</v>
      </c>
      <c r="E464" s="1">
        <f>IFERROR(__xludf.DUMMYFUNCTION("""COMPUTED_VALUE"""),49.05)</f>
        <v>49.05</v>
      </c>
      <c r="F464" s="1">
        <f>IFERROR(__xludf.DUMMYFUNCTION("""COMPUTED_VALUE"""),48912.0)</f>
        <v>48912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IFERROR(__xludf.DUMMYFUNCTION("""COMPUTED_VALUE"""),49.86)</f>
        <v>49.86</v>
      </c>
      <c r="C465" s="1">
        <f>IFERROR(__xludf.DUMMYFUNCTION("""COMPUTED_VALUE"""),52.84)</f>
        <v>52.84</v>
      </c>
      <c r="D465" s="1">
        <f>IFERROR(__xludf.DUMMYFUNCTION("""COMPUTED_VALUE"""),49.27)</f>
        <v>49.27</v>
      </c>
      <c r="E465" s="1">
        <f>IFERROR(__xludf.DUMMYFUNCTION("""COMPUTED_VALUE"""),50.05)</f>
        <v>50.05</v>
      </c>
      <c r="F465" s="1">
        <f>IFERROR(__xludf.DUMMYFUNCTION("""COMPUTED_VALUE"""),38601.0)</f>
        <v>38601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IFERROR(__xludf.DUMMYFUNCTION("""COMPUTED_VALUE"""),50.67)</f>
        <v>50.67</v>
      </c>
      <c r="C466" s="1">
        <f>IFERROR(__xludf.DUMMYFUNCTION("""COMPUTED_VALUE"""),51.84)</f>
        <v>51.84</v>
      </c>
      <c r="D466" s="1">
        <f>IFERROR(__xludf.DUMMYFUNCTION("""COMPUTED_VALUE"""),49.39)</f>
        <v>49.39</v>
      </c>
      <c r="E466" s="1">
        <f>IFERROR(__xludf.DUMMYFUNCTION("""COMPUTED_VALUE"""),51.73)</f>
        <v>51.73</v>
      </c>
      <c r="F466" s="1">
        <f>IFERROR(__xludf.DUMMYFUNCTION("""COMPUTED_VALUE"""),34980.0)</f>
        <v>34980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IFERROR(__xludf.DUMMYFUNCTION("""COMPUTED_VALUE"""),50.88)</f>
        <v>50.88</v>
      </c>
      <c r="C467" s="1">
        <f>IFERROR(__xludf.DUMMYFUNCTION("""COMPUTED_VALUE"""),50.88)</f>
        <v>50.88</v>
      </c>
      <c r="D467" s="1">
        <f>IFERROR(__xludf.DUMMYFUNCTION("""COMPUTED_VALUE"""),49.57)</f>
        <v>49.57</v>
      </c>
      <c r="E467" s="1">
        <f>IFERROR(__xludf.DUMMYFUNCTION("""COMPUTED_VALUE"""),50.35)</f>
        <v>50.35</v>
      </c>
      <c r="F467" s="1">
        <f>IFERROR(__xludf.DUMMYFUNCTION("""COMPUTED_VALUE"""),19640.0)</f>
        <v>19640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IFERROR(__xludf.DUMMYFUNCTION("""COMPUTED_VALUE"""),50.38)</f>
        <v>50.38</v>
      </c>
      <c r="C468" s="1">
        <f>IFERROR(__xludf.DUMMYFUNCTION("""COMPUTED_VALUE"""),50.49)</f>
        <v>50.49</v>
      </c>
      <c r="D468" s="1">
        <f>IFERROR(__xludf.DUMMYFUNCTION("""COMPUTED_VALUE"""),49.01)</f>
        <v>49.01</v>
      </c>
      <c r="E468" s="1">
        <f>IFERROR(__xludf.DUMMYFUNCTION("""COMPUTED_VALUE"""),50.44)</f>
        <v>50.44</v>
      </c>
      <c r="F468" s="1">
        <f>IFERROR(__xludf.DUMMYFUNCTION("""COMPUTED_VALUE"""),17016.0)</f>
        <v>17016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IFERROR(__xludf.DUMMYFUNCTION("""COMPUTED_VALUE"""),50.64)</f>
        <v>50.64</v>
      </c>
      <c r="C469" s="1">
        <f>IFERROR(__xludf.DUMMYFUNCTION("""COMPUTED_VALUE"""),51.05)</f>
        <v>51.05</v>
      </c>
      <c r="D469" s="1">
        <f>IFERROR(__xludf.DUMMYFUNCTION("""COMPUTED_VALUE"""),49.63)</f>
        <v>49.63</v>
      </c>
      <c r="E469" s="1">
        <f>IFERROR(__xludf.DUMMYFUNCTION("""COMPUTED_VALUE"""),50.95)</f>
        <v>50.95</v>
      </c>
      <c r="F469" s="1">
        <f>IFERROR(__xludf.DUMMYFUNCTION("""COMPUTED_VALUE"""),33160.0)</f>
        <v>33160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IFERROR(__xludf.DUMMYFUNCTION("""COMPUTED_VALUE"""),49.77)</f>
        <v>49.77</v>
      </c>
      <c r="C470" s="1">
        <f>IFERROR(__xludf.DUMMYFUNCTION("""COMPUTED_VALUE"""),50.46)</f>
        <v>50.46</v>
      </c>
      <c r="D470" s="1">
        <f>IFERROR(__xludf.DUMMYFUNCTION("""COMPUTED_VALUE"""),48.53)</f>
        <v>48.53</v>
      </c>
      <c r="E470" s="1">
        <f>IFERROR(__xludf.DUMMYFUNCTION("""COMPUTED_VALUE"""),48.56)</f>
        <v>48.56</v>
      </c>
      <c r="F470" s="1">
        <f>IFERROR(__xludf.DUMMYFUNCTION("""COMPUTED_VALUE"""),40120.0)</f>
        <v>40120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IFERROR(__xludf.DUMMYFUNCTION("""COMPUTED_VALUE"""),49.32)</f>
        <v>49.32</v>
      </c>
      <c r="C471" s="1">
        <f>IFERROR(__xludf.DUMMYFUNCTION("""COMPUTED_VALUE"""),49.93)</f>
        <v>49.93</v>
      </c>
      <c r="D471" s="1">
        <f>IFERROR(__xludf.DUMMYFUNCTION("""COMPUTED_VALUE"""),48.49)</f>
        <v>48.49</v>
      </c>
      <c r="E471" s="1">
        <f>IFERROR(__xludf.DUMMYFUNCTION("""COMPUTED_VALUE"""),48.99)</f>
        <v>48.99</v>
      </c>
      <c r="F471" s="1">
        <f>IFERROR(__xludf.DUMMYFUNCTION("""COMPUTED_VALUE"""),30116.0)</f>
        <v>30116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IFERROR(__xludf.DUMMYFUNCTION("""COMPUTED_VALUE"""),49.28)</f>
        <v>49.28</v>
      </c>
      <c r="C472" s="1">
        <f>IFERROR(__xludf.DUMMYFUNCTION("""COMPUTED_VALUE"""),50.42)</f>
        <v>50.42</v>
      </c>
      <c r="D472" s="1">
        <f>IFERROR(__xludf.DUMMYFUNCTION("""COMPUTED_VALUE"""),49.04)</f>
        <v>49.04</v>
      </c>
      <c r="E472" s="1">
        <f>IFERROR(__xludf.DUMMYFUNCTION("""COMPUTED_VALUE"""),50.25)</f>
        <v>50.25</v>
      </c>
      <c r="F472" s="1">
        <f>IFERROR(__xludf.DUMMYFUNCTION("""COMPUTED_VALUE"""),69475.0)</f>
        <v>69475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IFERROR(__xludf.DUMMYFUNCTION("""COMPUTED_VALUE"""),50.2)</f>
        <v>50.2</v>
      </c>
      <c r="C473" s="1">
        <f>IFERROR(__xludf.DUMMYFUNCTION("""COMPUTED_VALUE"""),50.6)</f>
        <v>50.6</v>
      </c>
      <c r="D473" s="1">
        <f>IFERROR(__xludf.DUMMYFUNCTION("""COMPUTED_VALUE"""),49.03)</f>
        <v>49.03</v>
      </c>
      <c r="E473" s="1">
        <f>IFERROR(__xludf.DUMMYFUNCTION("""COMPUTED_VALUE"""),49.27)</f>
        <v>49.27</v>
      </c>
      <c r="F473" s="1">
        <f>IFERROR(__xludf.DUMMYFUNCTION("""COMPUTED_VALUE"""),51656.0)</f>
        <v>51656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IFERROR(__xludf.DUMMYFUNCTION("""COMPUTED_VALUE"""),48.89)</f>
        <v>48.89</v>
      </c>
      <c r="C474" s="1">
        <f>IFERROR(__xludf.DUMMYFUNCTION("""COMPUTED_VALUE"""),51.0)</f>
        <v>51</v>
      </c>
      <c r="D474" s="1">
        <f>IFERROR(__xludf.DUMMYFUNCTION("""COMPUTED_VALUE"""),48.74)</f>
        <v>48.74</v>
      </c>
      <c r="E474" s="1">
        <f>IFERROR(__xludf.DUMMYFUNCTION("""COMPUTED_VALUE"""),50.87)</f>
        <v>50.87</v>
      </c>
      <c r="F474" s="1">
        <f>IFERROR(__xludf.DUMMYFUNCTION("""COMPUTED_VALUE"""),36521.0)</f>
        <v>36521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IFERROR(__xludf.DUMMYFUNCTION("""COMPUTED_VALUE"""),50.24)</f>
        <v>50.24</v>
      </c>
      <c r="C475" s="1">
        <f>IFERROR(__xludf.DUMMYFUNCTION("""COMPUTED_VALUE"""),51.59)</f>
        <v>51.59</v>
      </c>
      <c r="D475" s="1">
        <f>IFERROR(__xludf.DUMMYFUNCTION("""COMPUTED_VALUE"""),50.02)</f>
        <v>50.02</v>
      </c>
      <c r="E475" s="1">
        <f>IFERROR(__xludf.DUMMYFUNCTION("""COMPUTED_VALUE"""),50.22)</f>
        <v>50.22</v>
      </c>
      <c r="F475" s="1">
        <f>IFERROR(__xludf.DUMMYFUNCTION("""COMPUTED_VALUE"""),27203.0)</f>
        <v>27203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IFERROR(__xludf.DUMMYFUNCTION("""COMPUTED_VALUE"""),50.04)</f>
        <v>50.04</v>
      </c>
      <c r="C476" s="1">
        <f>IFERROR(__xludf.DUMMYFUNCTION("""COMPUTED_VALUE"""),51.09)</f>
        <v>51.09</v>
      </c>
      <c r="D476" s="1">
        <f>IFERROR(__xludf.DUMMYFUNCTION("""COMPUTED_VALUE"""),49.68)</f>
        <v>49.68</v>
      </c>
      <c r="E476" s="1">
        <f>IFERROR(__xludf.DUMMYFUNCTION("""COMPUTED_VALUE"""),50.06)</f>
        <v>50.06</v>
      </c>
      <c r="F476" s="1">
        <f>IFERROR(__xludf.DUMMYFUNCTION("""COMPUTED_VALUE"""),32519.0)</f>
        <v>32519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IFERROR(__xludf.DUMMYFUNCTION("""COMPUTED_VALUE"""),50.07)</f>
        <v>50.07</v>
      </c>
      <c r="C477" s="1">
        <f>IFERROR(__xludf.DUMMYFUNCTION("""COMPUTED_VALUE"""),50.65)</f>
        <v>50.65</v>
      </c>
      <c r="D477" s="1">
        <f>IFERROR(__xludf.DUMMYFUNCTION("""COMPUTED_VALUE"""),49.96)</f>
        <v>49.96</v>
      </c>
      <c r="E477" s="1">
        <f>IFERROR(__xludf.DUMMYFUNCTION("""COMPUTED_VALUE"""),50.23)</f>
        <v>50.23</v>
      </c>
      <c r="F477" s="1">
        <f>IFERROR(__xludf.DUMMYFUNCTION("""COMPUTED_VALUE"""),19468.0)</f>
        <v>19468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IFERROR(__xludf.DUMMYFUNCTION("""COMPUTED_VALUE"""),49.64)</f>
        <v>49.64</v>
      </c>
      <c r="C478" s="1">
        <f>IFERROR(__xludf.DUMMYFUNCTION("""COMPUTED_VALUE"""),50.14)</f>
        <v>50.14</v>
      </c>
      <c r="D478" s="1">
        <f>IFERROR(__xludf.DUMMYFUNCTION("""COMPUTED_VALUE"""),48.75)</f>
        <v>48.75</v>
      </c>
      <c r="E478" s="1">
        <f>IFERROR(__xludf.DUMMYFUNCTION("""COMPUTED_VALUE"""),48.78)</f>
        <v>48.78</v>
      </c>
      <c r="F478" s="1">
        <f>IFERROR(__xludf.DUMMYFUNCTION("""COMPUTED_VALUE"""),21866.0)</f>
        <v>21866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IFERROR(__xludf.DUMMYFUNCTION("""COMPUTED_VALUE"""),48.79)</f>
        <v>48.79</v>
      </c>
      <c r="C479" s="1">
        <f>IFERROR(__xludf.DUMMYFUNCTION("""COMPUTED_VALUE"""),49.05)</f>
        <v>49.05</v>
      </c>
      <c r="D479" s="1">
        <f>IFERROR(__xludf.DUMMYFUNCTION("""COMPUTED_VALUE"""),48.17)</f>
        <v>48.17</v>
      </c>
      <c r="E479" s="1">
        <f>IFERROR(__xludf.DUMMYFUNCTION("""COMPUTED_VALUE"""),48.23)</f>
        <v>48.23</v>
      </c>
      <c r="F479" s="1">
        <f>IFERROR(__xludf.DUMMYFUNCTION("""COMPUTED_VALUE"""),40684.0)</f>
        <v>40684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IFERROR(__xludf.DUMMYFUNCTION("""COMPUTED_VALUE"""),48.0)</f>
        <v>48</v>
      </c>
      <c r="C480" s="1">
        <f>IFERROR(__xludf.DUMMYFUNCTION("""COMPUTED_VALUE"""),48.22)</f>
        <v>48.22</v>
      </c>
      <c r="D480" s="1">
        <f>IFERROR(__xludf.DUMMYFUNCTION("""COMPUTED_VALUE"""),46.42)</f>
        <v>46.42</v>
      </c>
      <c r="E480" s="1">
        <f>IFERROR(__xludf.DUMMYFUNCTION("""COMPUTED_VALUE"""),46.84)</f>
        <v>46.84</v>
      </c>
      <c r="F480" s="1">
        <f>IFERROR(__xludf.DUMMYFUNCTION("""COMPUTED_VALUE"""),35596.0)</f>
        <v>35596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IFERROR(__xludf.DUMMYFUNCTION("""COMPUTED_VALUE"""),46.81)</f>
        <v>46.81</v>
      </c>
      <c r="C481" s="1">
        <f>IFERROR(__xludf.DUMMYFUNCTION("""COMPUTED_VALUE"""),47.14)</f>
        <v>47.14</v>
      </c>
      <c r="D481" s="1">
        <f>IFERROR(__xludf.DUMMYFUNCTION("""COMPUTED_VALUE"""),46.46)</f>
        <v>46.46</v>
      </c>
      <c r="E481" s="1">
        <f>IFERROR(__xludf.DUMMYFUNCTION("""COMPUTED_VALUE"""),46.5)</f>
        <v>46.5</v>
      </c>
      <c r="F481" s="1">
        <f>IFERROR(__xludf.DUMMYFUNCTION("""COMPUTED_VALUE"""),25166.0)</f>
        <v>25166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IFERROR(__xludf.DUMMYFUNCTION("""COMPUTED_VALUE"""),47.85)</f>
        <v>47.85</v>
      </c>
      <c r="C482" s="1">
        <f>IFERROR(__xludf.DUMMYFUNCTION("""COMPUTED_VALUE"""),48.48)</f>
        <v>48.48</v>
      </c>
      <c r="D482" s="1">
        <f>IFERROR(__xludf.DUMMYFUNCTION("""COMPUTED_VALUE"""),47.09)</f>
        <v>47.09</v>
      </c>
      <c r="E482" s="1">
        <f>IFERROR(__xludf.DUMMYFUNCTION("""COMPUTED_VALUE"""),48.48)</f>
        <v>48.48</v>
      </c>
      <c r="F482" s="1">
        <f>IFERROR(__xludf.DUMMYFUNCTION("""COMPUTED_VALUE"""),59545.0)</f>
        <v>59545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IFERROR(__xludf.DUMMYFUNCTION("""COMPUTED_VALUE"""),48.58)</f>
        <v>48.58</v>
      </c>
      <c r="C483" s="1">
        <f>IFERROR(__xludf.DUMMYFUNCTION("""COMPUTED_VALUE"""),48.88)</f>
        <v>48.88</v>
      </c>
      <c r="D483" s="1">
        <f>IFERROR(__xludf.DUMMYFUNCTION("""COMPUTED_VALUE"""),48.41)</f>
        <v>48.41</v>
      </c>
      <c r="E483" s="1">
        <f>IFERROR(__xludf.DUMMYFUNCTION("""COMPUTED_VALUE"""),48.61)</f>
        <v>48.61</v>
      </c>
      <c r="F483" s="1">
        <f>IFERROR(__xludf.DUMMYFUNCTION("""COMPUTED_VALUE"""),24498.0)</f>
        <v>24498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IFERROR(__xludf.DUMMYFUNCTION("""COMPUTED_VALUE"""),50.41)</f>
        <v>50.41</v>
      </c>
      <c r="C484" s="1">
        <f>IFERROR(__xludf.DUMMYFUNCTION("""COMPUTED_VALUE"""),51.97)</f>
        <v>51.97</v>
      </c>
      <c r="D484" s="1">
        <f>IFERROR(__xludf.DUMMYFUNCTION("""COMPUTED_VALUE"""),48.53)</f>
        <v>48.53</v>
      </c>
      <c r="E484" s="1">
        <f>IFERROR(__xludf.DUMMYFUNCTION("""COMPUTED_VALUE"""),51.88)</f>
        <v>51.88</v>
      </c>
      <c r="F484" s="1">
        <f>IFERROR(__xludf.DUMMYFUNCTION("""COMPUTED_VALUE"""),104639.0)</f>
        <v>104639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IFERROR(__xludf.DUMMYFUNCTION("""COMPUTED_VALUE"""),51.61)</f>
        <v>51.61</v>
      </c>
      <c r="C485" s="1">
        <f>IFERROR(__xludf.DUMMYFUNCTION("""COMPUTED_VALUE"""),52.92)</f>
        <v>52.92</v>
      </c>
      <c r="D485" s="1">
        <f>IFERROR(__xludf.DUMMYFUNCTION("""COMPUTED_VALUE"""),51.19)</f>
        <v>51.19</v>
      </c>
      <c r="E485" s="1">
        <f>IFERROR(__xludf.DUMMYFUNCTION("""COMPUTED_VALUE"""),51.23)</f>
        <v>51.23</v>
      </c>
      <c r="F485" s="1">
        <f>IFERROR(__xludf.DUMMYFUNCTION("""COMPUTED_VALUE"""),44999.0)</f>
        <v>44999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IFERROR(__xludf.DUMMYFUNCTION("""COMPUTED_VALUE"""),51.92)</f>
        <v>51.92</v>
      </c>
      <c r="C486" s="1">
        <f>IFERROR(__xludf.DUMMYFUNCTION("""COMPUTED_VALUE"""),51.92)</f>
        <v>51.92</v>
      </c>
      <c r="D486" s="1">
        <f>IFERROR(__xludf.DUMMYFUNCTION("""COMPUTED_VALUE"""),51.04)</f>
        <v>51.04</v>
      </c>
      <c r="E486" s="1">
        <f>IFERROR(__xludf.DUMMYFUNCTION("""COMPUTED_VALUE"""),51.62)</f>
        <v>51.62</v>
      </c>
      <c r="F486" s="1">
        <f>IFERROR(__xludf.DUMMYFUNCTION("""COMPUTED_VALUE"""),32525.0)</f>
        <v>32525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IFERROR(__xludf.DUMMYFUNCTION("""COMPUTED_VALUE"""),52.39)</f>
        <v>52.39</v>
      </c>
      <c r="C487" s="1">
        <f>IFERROR(__xludf.DUMMYFUNCTION("""COMPUTED_VALUE"""),52.43)</f>
        <v>52.43</v>
      </c>
      <c r="D487" s="1">
        <f>IFERROR(__xludf.DUMMYFUNCTION("""COMPUTED_VALUE"""),51.58)</f>
        <v>51.58</v>
      </c>
      <c r="E487" s="1">
        <f>IFERROR(__xludf.DUMMYFUNCTION("""COMPUTED_VALUE"""),52.36)</f>
        <v>52.36</v>
      </c>
      <c r="F487" s="1">
        <f>IFERROR(__xludf.DUMMYFUNCTION("""COMPUTED_VALUE"""),44490.0)</f>
        <v>44490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IFERROR(__xludf.DUMMYFUNCTION("""COMPUTED_VALUE"""),52.3)</f>
        <v>52.3</v>
      </c>
      <c r="C488" s="1">
        <f>IFERROR(__xludf.DUMMYFUNCTION("""COMPUTED_VALUE"""),54.53)</f>
        <v>54.53</v>
      </c>
      <c r="D488" s="1">
        <f>IFERROR(__xludf.DUMMYFUNCTION("""COMPUTED_VALUE"""),52.3)</f>
        <v>52.3</v>
      </c>
      <c r="E488" s="1">
        <f>IFERROR(__xludf.DUMMYFUNCTION("""COMPUTED_VALUE"""),54.25)</f>
        <v>54.25</v>
      </c>
      <c r="F488" s="1">
        <f>IFERROR(__xludf.DUMMYFUNCTION("""COMPUTED_VALUE"""),84102.0)</f>
        <v>84102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IFERROR(__xludf.DUMMYFUNCTION("""COMPUTED_VALUE"""),53.72)</f>
        <v>53.72</v>
      </c>
      <c r="C489" s="1">
        <f>IFERROR(__xludf.DUMMYFUNCTION("""COMPUTED_VALUE"""),54.03)</f>
        <v>54.03</v>
      </c>
      <c r="D489" s="1">
        <f>IFERROR(__xludf.DUMMYFUNCTION("""COMPUTED_VALUE"""),52.82)</f>
        <v>52.82</v>
      </c>
      <c r="E489" s="1">
        <f>IFERROR(__xludf.DUMMYFUNCTION("""COMPUTED_VALUE"""),53.78)</f>
        <v>53.78</v>
      </c>
      <c r="F489" s="1">
        <f>IFERROR(__xludf.DUMMYFUNCTION("""COMPUTED_VALUE"""),34621.0)</f>
        <v>34621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IFERROR(__xludf.DUMMYFUNCTION("""COMPUTED_VALUE"""),53.19)</f>
        <v>53.19</v>
      </c>
      <c r="C490" s="1">
        <f>IFERROR(__xludf.DUMMYFUNCTION("""COMPUTED_VALUE"""),53.19)</f>
        <v>53.19</v>
      </c>
      <c r="D490" s="1">
        <f>IFERROR(__xludf.DUMMYFUNCTION("""COMPUTED_VALUE"""),51.93)</f>
        <v>51.93</v>
      </c>
      <c r="E490" s="1">
        <f>IFERROR(__xludf.DUMMYFUNCTION("""COMPUTED_VALUE"""),52.03)</f>
        <v>52.03</v>
      </c>
      <c r="F490" s="1">
        <f>IFERROR(__xludf.DUMMYFUNCTION("""COMPUTED_VALUE"""),50206.0)</f>
        <v>50206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IFERROR(__xludf.DUMMYFUNCTION("""COMPUTED_VALUE"""),52.23)</f>
        <v>52.23</v>
      </c>
      <c r="C491" s="1">
        <f>IFERROR(__xludf.DUMMYFUNCTION("""COMPUTED_VALUE"""),54.2)</f>
        <v>54.2</v>
      </c>
      <c r="D491" s="1">
        <f>IFERROR(__xludf.DUMMYFUNCTION("""COMPUTED_VALUE"""),52.1)</f>
        <v>52.1</v>
      </c>
      <c r="E491" s="1">
        <f>IFERROR(__xludf.DUMMYFUNCTION("""COMPUTED_VALUE"""),54.04)</f>
        <v>54.04</v>
      </c>
      <c r="F491" s="1">
        <f>IFERROR(__xludf.DUMMYFUNCTION("""COMPUTED_VALUE"""),50459.0)</f>
        <v>50459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IFERROR(__xludf.DUMMYFUNCTION("""COMPUTED_VALUE"""),53.5)</f>
        <v>53.5</v>
      </c>
      <c r="C492" s="1">
        <f>IFERROR(__xludf.DUMMYFUNCTION("""COMPUTED_VALUE"""),53.5)</f>
        <v>53.5</v>
      </c>
      <c r="D492" s="1">
        <f>IFERROR(__xludf.DUMMYFUNCTION("""COMPUTED_VALUE"""),52.5)</f>
        <v>52.5</v>
      </c>
      <c r="E492" s="1">
        <f>IFERROR(__xludf.DUMMYFUNCTION("""COMPUTED_VALUE"""),53.2)</f>
        <v>53.2</v>
      </c>
      <c r="F492" s="1">
        <f>IFERROR(__xludf.DUMMYFUNCTION("""COMPUTED_VALUE"""),53641.0)</f>
        <v>53641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IFERROR(__xludf.DUMMYFUNCTION("""COMPUTED_VALUE"""),53.47)</f>
        <v>53.47</v>
      </c>
      <c r="C493" s="1">
        <f>IFERROR(__xludf.DUMMYFUNCTION("""COMPUTED_VALUE"""),53.51)</f>
        <v>53.51</v>
      </c>
      <c r="D493" s="1">
        <f>IFERROR(__xludf.DUMMYFUNCTION("""COMPUTED_VALUE"""),51.44)</f>
        <v>51.44</v>
      </c>
      <c r="E493" s="1">
        <f>IFERROR(__xludf.DUMMYFUNCTION("""COMPUTED_VALUE"""),51.98)</f>
        <v>51.98</v>
      </c>
      <c r="F493" s="1">
        <f>IFERROR(__xludf.DUMMYFUNCTION("""COMPUTED_VALUE"""),46541.0)</f>
        <v>46541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IFERROR(__xludf.DUMMYFUNCTION("""COMPUTED_VALUE"""),51.49)</f>
        <v>51.49</v>
      </c>
      <c r="C494" s="1">
        <f>IFERROR(__xludf.DUMMYFUNCTION("""COMPUTED_VALUE"""),52.04)</f>
        <v>52.04</v>
      </c>
      <c r="D494" s="1">
        <f>IFERROR(__xludf.DUMMYFUNCTION("""COMPUTED_VALUE"""),51.25)</f>
        <v>51.25</v>
      </c>
      <c r="E494" s="1">
        <f>IFERROR(__xludf.DUMMYFUNCTION("""COMPUTED_VALUE"""),51.29)</f>
        <v>51.29</v>
      </c>
      <c r="F494" s="1">
        <f>IFERROR(__xludf.DUMMYFUNCTION("""COMPUTED_VALUE"""),42529.0)</f>
        <v>42529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IFERROR(__xludf.DUMMYFUNCTION("""COMPUTED_VALUE"""),51.97)</f>
        <v>51.97</v>
      </c>
      <c r="C495" s="1">
        <f>IFERROR(__xludf.DUMMYFUNCTION("""COMPUTED_VALUE"""),52.67)</f>
        <v>52.67</v>
      </c>
      <c r="D495" s="1">
        <f>IFERROR(__xludf.DUMMYFUNCTION("""COMPUTED_VALUE"""),50.78)</f>
        <v>50.78</v>
      </c>
      <c r="E495" s="1">
        <f>IFERROR(__xludf.DUMMYFUNCTION("""COMPUTED_VALUE"""),52.5)</f>
        <v>52.5</v>
      </c>
      <c r="F495" s="1">
        <f>IFERROR(__xludf.DUMMYFUNCTION("""COMPUTED_VALUE"""),22993.0)</f>
        <v>22993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IFERROR(__xludf.DUMMYFUNCTION("""COMPUTED_VALUE"""),52.5)</f>
        <v>52.5</v>
      </c>
      <c r="C496" s="1">
        <f>IFERROR(__xludf.DUMMYFUNCTION("""COMPUTED_VALUE"""),53.17)</f>
        <v>53.17</v>
      </c>
      <c r="D496" s="1">
        <f>IFERROR(__xludf.DUMMYFUNCTION("""COMPUTED_VALUE"""),51.69)</f>
        <v>51.69</v>
      </c>
      <c r="E496" s="1">
        <f>IFERROR(__xludf.DUMMYFUNCTION("""COMPUTED_VALUE"""),52.5)</f>
        <v>52.5</v>
      </c>
      <c r="F496" s="1">
        <f>IFERROR(__xludf.DUMMYFUNCTION("""COMPUTED_VALUE"""),175198.0)</f>
        <v>175198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IFERROR(__xludf.DUMMYFUNCTION("""COMPUTED_VALUE"""),52.5)</f>
        <v>52.5</v>
      </c>
      <c r="C497" s="1">
        <f>IFERROR(__xludf.DUMMYFUNCTION("""COMPUTED_VALUE"""),53.0)</f>
        <v>53</v>
      </c>
      <c r="D497" s="1">
        <f>IFERROR(__xludf.DUMMYFUNCTION("""COMPUTED_VALUE"""),51.17)</f>
        <v>51.17</v>
      </c>
      <c r="E497" s="1">
        <f>IFERROR(__xludf.DUMMYFUNCTION("""COMPUTED_VALUE"""),51.52)</f>
        <v>51.52</v>
      </c>
      <c r="F497" s="1">
        <f>IFERROR(__xludf.DUMMYFUNCTION("""COMPUTED_VALUE"""),45245.0)</f>
        <v>45245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IFERROR(__xludf.DUMMYFUNCTION("""COMPUTED_VALUE"""),52.57)</f>
        <v>52.57</v>
      </c>
      <c r="C498" s="1">
        <f>IFERROR(__xludf.DUMMYFUNCTION("""COMPUTED_VALUE"""),53.27)</f>
        <v>53.27</v>
      </c>
      <c r="D498" s="1">
        <f>IFERROR(__xludf.DUMMYFUNCTION("""COMPUTED_VALUE"""),52.03)</f>
        <v>52.03</v>
      </c>
      <c r="E498" s="1">
        <f>IFERROR(__xludf.DUMMYFUNCTION("""COMPUTED_VALUE"""),53.11)</f>
        <v>53.11</v>
      </c>
      <c r="F498" s="1">
        <f>IFERROR(__xludf.DUMMYFUNCTION("""COMPUTED_VALUE"""),65289.0)</f>
        <v>65289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IFERROR(__xludf.DUMMYFUNCTION("""COMPUTED_VALUE"""),53.0)</f>
        <v>53</v>
      </c>
      <c r="C499" s="1">
        <f>IFERROR(__xludf.DUMMYFUNCTION("""COMPUTED_VALUE"""),54.0)</f>
        <v>54</v>
      </c>
      <c r="D499" s="1">
        <f>IFERROR(__xludf.DUMMYFUNCTION("""COMPUTED_VALUE"""),52.76)</f>
        <v>52.76</v>
      </c>
      <c r="E499" s="1">
        <f>IFERROR(__xludf.DUMMYFUNCTION("""COMPUTED_VALUE"""),53.65)</f>
        <v>53.65</v>
      </c>
      <c r="F499" s="1">
        <f>IFERROR(__xludf.DUMMYFUNCTION("""COMPUTED_VALUE"""),52055.0)</f>
        <v>52055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IFERROR(__xludf.DUMMYFUNCTION("""COMPUTED_VALUE"""),53.79)</f>
        <v>53.79</v>
      </c>
      <c r="C500" s="1">
        <f>IFERROR(__xludf.DUMMYFUNCTION("""COMPUTED_VALUE"""),54.25)</f>
        <v>54.25</v>
      </c>
      <c r="D500" s="1">
        <f>IFERROR(__xludf.DUMMYFUNCTION("""COMPUTED_VALUE"""),53.0)</f>
        <v>53</v>
      </c>
      <c r="E500" s="1">
        <f>IFERROR(__xludf.DUMMYFUNCTION("""COMPUTED_VALUE"""),53.18)</f>
        <v>53.18</v>
      </c>
      <c r="F500" s="1">
        <f>IFERROR(__xludf.DUMMYFUNCTION("""COMPUTED_VALUE"""),28461.0)</f>
        <v>28461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IFERROR(__xludf.DUMMYFUNCTION("""COMPUTED_VALUE"""),53.29)</f>
        <v>53.29</v>
      </c>
      <c r="C501" s="1">
        <f>IFERROR(__xludf.DUMMYFUNCTION("""COMPUTED_VALUE"""),53.38)</f>
        <v>53.38</v>
      </c>
      <c r="D501" s="1">
        <f>IFERROR(__xludf.DUMMYFUNCTION("""COMPUTED_VALUE"""),51.45)</f>
        <v>51.45</v>
      </c>
      <c r="E501" s="1">
        <f>IFERROR(__xludf.DUMMYFUNCTION("""COMPUTED_VALUE"""),53.29)</f>
        <v>53.29</v>
      </c>
      <c r="F501" s="1">
        <f>IFERROR(__xludf.DUMMYFUNCTION("""COMPUTED_VALUE"""),13334.0)</f>
        <v>13334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IFERROR(__xludf.DUMMYFUNCTION("""COMPUTED_VALUE"""),52.89)</f>
        <v>52.89</v>
      </c>
      <c r="C502" s="1">
        <f>IFERROR(__xludf.DUMMYFUNCTION("""COMPUTED_VALUE"""),53.98)</f>
        <v>53.98</v>
      </c>
      <c r="D502" s="1">
        <f>IFERROR(__xludf.DUMMYFUNCTION("""COMPUTED_VALUE"""),52.89)</f>
        <v>52.89</v>
      </c>
      <c r="E502" s="1">
        <f>IFERROR(__xludf.DUMMYFUNCTION("""COMPUTED_VALUE"""),53.42)</f>
        <v>53.42</v>
      </c>
      <c r="F502" s="1">
        <f>IFERROR(__xludf.DUMMYFUNCTION("""COMPUTED_VALUE"""),16851.0)</f>
        <v>16851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IFERROR(__xludf.DUMMYFUNCTION("""COMPUTED_VALUE"""),53.21)</f>
        <v>53.21</v>
      </c>
      <c r="C503" s="1">
        <f>IFERROR(__xludf.DUMMYFUNCTION("""COMPUTED_VALUE"""),53.28)</f>
        <v>53.28</v>
      </c>
      <c r="D503" s="1">
        <f>IFERROR(__xludf.DUMMYFUNCTION("""COMPUTED_VALUE"""),52.33)</f>
        <v>52.33</v>
      </c>
      <c r="E503" s="1">
        <f>IFERROR(__xludf.DUMMYFUNCTION("""COMPUTED_VALUE"""),52.44)</f>
        <v>52.44</v>
      </c>
      <c r="F503" s="1">
        <f>IFERROR(__xludf.DUMMYFUNCTION("""COMPUTED_VALUE"""),24241.0)</f>
        <v>24241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IFERROR(__xludf.DUMMYFUNCTION("""COMPUTED_VALUE"""),52.53)</f>
        <v>52.53</v>
      </c>
      <c r="C504" s="1">
        <f>IFERROR(__xludf.DUMMYFUNCTION("""COMPUTED_VALUE"""),53.83)</f>
        <v>53.83</v>
      </c>
      <c r="D504" s="1">
        <f>IFERROR(__xludf.DUMMYFUNCTION("""COMPUTED_VALUE"""),52.53)</f>
        <v>52.53</v>
      </c>
      <c r="E504" s="1">
        <f>IFERROR(__xludf.DUMMYFUNCTION("""COMPUTED_VALUE"""),53.81)</f>
        <v>53.81</v>
      </c>
      <c r="F504" s="1">
        <f>IFERROR(__xludf.DUMMYFUNCTION("""COMPUTED_VALUE"""),20761.0)</f>
        <v>20761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IFERROR(__xludf.DUMMYFUNCTION("""COMPUTED_VALUE"""),53.68)</f>
        <v>53.68</v>
      </c>
      <c r="C505" s="1">
        <f>IFERROR(__xludf.DUMMYFUNCTION("""COMPUTED_VALUE"""),53.78)</f>
        <v>53.78</v>
      </c>
      <c r="D505" s="1">
        <f>IFERROR(__xludf.DUMMYFUNCTION("""COMPUTED_VALUE"""),53.11)</f>
        <v>53.11</v>
      </c>
      <c r="E505" s="1">
        <f>IFERROR(__xludf.DUMMYFUNCTION("""COMPUTED_VALUE"""),53.28)</f>
        <v>53.28</v>
      </c>
      <c r="F505" s="1">
        <f>IFERROR(__xludf.DUMMYFUNCTION("""COMPUTED_VALUE"""),31246.0)</f>
        <v>31246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IFERROR(__xludf.DUMMYFUNCTION("""COMPUTED_VALUE"""),54.14)</f>
        <v>54.14</v>
      </c>
      <c r="C506" s="1">
        <f>IFERROR(__xludf.DUMMYFUNCTION("""COMPUTED_VALUE"""),54.17)</f>
        <v>54.17</v>
      </c>
      <c r="D506" s="1">
        <f>IFERROR(__xludf.DUMMYFUNCTION("""COMPUTED_VALUE"""),52.76)</f>
        <v>52.76</v>
      </c>
      <c r="E506" s="1">
        <f>IFERROR(__xludf.DUMMYFUNCTION("""COMPUTED_VALUE"""),52.94)</f>
        <v>52.94</v>
      </c>
      <c r="F506" s="1">
        <f>IFERROR(__xludf.DUMMYFUNCTION("""COMPUTED_VALUE"""),39472.0)</f>
        <v>39472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IFERROR(__xludf.DUMMYFUNCTION("""COMPUTED_VALUE"""),52.49)</f>
        <v>52.49</v>
      </c>
      <c r="C507" s="1">
        <f>IFERROR(__xludf.DUMMYFUNCTION("""COMPUTED_VALUE"""),53.17)</f>
        <v>53.17</v>
      </c>
      <c r="D507" s="1">
        <f>IFERROR(__xludf.DUMMYFUNCTION("""COMPUTED_VALUE"""),52.41)</f>
        <v>52.41</v>
      </c>
      <c r="E507" s="1">
        <f>IFERROR(__xludf.DUMMYFUNCTION("""COMPUTED_VALUE"""),52.48)</f>
        <v>52.48</v>
      </c>
      <c r="F507" s="1">
        <f>IFERROR(__xludf.DUMMYFUNCTION("""COMPUTED_VALUE"""),15779.0)</f>
        <v>15779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IFERROR(__xludf.DUMMYFUNCTION("""COMPUTED_VALUE"""),52.1)</f>
        <v>52.1</v>
      </c>
      <c r="C508" s="1">
        <f>IFERROR(__xludf.DUMMYFUNCTION("""COMPUTED_VALUE"""),52.71)</f>
        <v>52.71</v>
      </c>
      <c r="D508" s="1">
        <f>IFERROR(__xludf.DUMMYFUNCTION("""COMPUTED_VALUE"""),51.79)</f>
        <v>51.79</v>
      </c>
      <c r="E508" s="1">
        <f>IFERROR(__xludf.DUMMYFUNCTION("""COMPUTED_VALUE"""),52.61)</f>
        <v>52.61</v>
      </c>
      <c r="F508" s="1">
        <f>IFERROR(__xludf.DUMMYFUNCTION("""COMPUTED_VALUE"""),19912.0)</f>
        <v>19912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IFERROR(__xludf.DUMMYFUNCTION("""COMPUTED_VALUE"""),52.75)</f>
        <v>52.75</v>
      </c>
      <c r="C509" s="1">
        <f>IFERROR(__xludf.DUMMYFUNCTION("""COMPUTED_VALUE"""),52.93)</f>
        <v>52.93</v>
      </c>
      <c r="D509" s="1">
        <f>IFERROR(__xludf.DUMMYFUNCTION("""COMPUTED_VALUE"""),52.02)</f>
        <v>52.02</v>
      </c>
      <c r="E509" s="1">
        <f>IFERROR(__xludf.DUMMYFUNCTION("""COMPUTED_VALUE"""),52.66)</f>
        <v>52.66</v>
      </c>
      <c r="F509" s="1">
        <f>IFERROR(__xludf.DUMMYFUNCTION("""COMPUTED_VALUE"""),32014.0)</f>
        <v>32014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IFERROR(__xludf.DUMMYFUNCTION("""COMPUTED_VALUE"""),52.69)</f>
        <v>52.69</v>
      </c>
      <c r="C510" s="1">
        <f>IFERROR(__xludf.DUMMYFUNCTION("""COMPUTED_VALUE"""),52.69)</f>
        <v>52.69</v>
      </c>
      <c r="D510" s="1">
        <f>IFERROR(__xludf.DUMMYFUNCTION("""COMPUTED_VALUE"""),51.88)</f>
        <v>51.88</v>
      </c>
      <c r="E510" s="1">
        <f>IFERROR(__xludf.DUMMYFUNCTION("""COMPUTED_VALUE"""),52.21)</f>
        <v>52.21</v>
      </c>
      <c r="F510" s="1">
        <f>IFERROR(__xludf.DUMMYFUNCTION("""COMPUTED_VALUE"""),42149.0)</f>
        <v>42149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IFERROR(__xludf.DUMMYFUNCTION("""COMPUTED_VALUE"""),52.84)</f>
        <v>52.84</v>
      </c>
      <c r="C511" s="1">
        <f>IFERROR(__xludf.DUMMYFUNCTION("""COMPUTED_VALUE"""),52.84)</f>
        <v>52.84</v>
      </c>
      <c r="D511" s="1">
        <f>IFERROR(__xludf.DUMMYFUNCTION("""COMPUTED_VALUE"""),51.99)</f>
        <v>51.99</v>
      </c>
      <c r="E511" s="1">
        <f>IFERROR(__xludf.DUMMYFUNCTION("""COMPUTED_VALUE"""),52.61)</f>
        <v>52.61</v>
      </c>
      <c r="F511" s="1">
        <f>IFERROR(__xludf.DUMMYFUNCTION("""COMPUTED_VALUE"""),38708.0)</f>
        <v>38708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IFERROR(__xludf.DUMMYFUNCTION("""COMPUTED_VALUE"""),52.23)</f>
        <v>52.23</v>
      </c>
      <c r="C512" s="1">
        <f>IFERROR(__xludf.DUMMYFUNCTION("""COMPUTED_VALUE"""),52.49)</f>
        <v>52.49</v>
      </c>
      <c r="D512" s="1">
        <f>IFERROR(__xludf.DUMMYFUNCTION("""COMPUTED_VALUE"""),51.7)</f>
        <v>51.7</v>
      </c>
      <c r="E512" s="1">
        <f>IFERROR(__xludf.DUMMYFUNCTION("""COMPUTED_VALUE"""),52.36)</f>
        <v>52.36</v>
      </c>
      <c r="F512" s="1">
        <f>IFERROR(__xludf.DUMMYFUNCTION("""COMPUTED_VALUE"""),27260.0)</f>
        <v>27260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IFERROR(__xludf.DUMMYFUNCTION("""COMPUTED_VALUE"""),52.33)</f>
        <v>52.33</v>
      </c>
      <c r="C513" s="1">
        <f>IFERROR(__xludf.DUMMYFUNCTION("""COMPUTED_VALUE"""),52.47)</f>
        <v>52.47</v>
      </c>
      <c r="D513" s="1">
        <f>IFERROR(__xludf.DUMMYFUNCTION("""COMPUTED_VALUE"""),51.78)</f>
        <v>51.78</v>
      </c>
      <c r="E513" s="1">
        <f>IFERROR(__xludf.DUMMYFUNCTION("""COMPUTED_VALUE"""),52.44)</f>
        <v>52.44</v>
      </c>
      <c r="F513" s="1">
        <f>IFERROR(__xludf.DUMMYFUNCTION("""COMPUTED_VALUE"""),13876.0)</f>
        <v>13876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IFERROR(__xludf.DUMMYFUNCTION("""COMPUTED_VALUE"""),51.77)</f>
        <v>51.77</v>
      </c>
      <c r="C514" s="1">
        <f>IFERROR(__xludf.DUMMYFUNCTION("""COMPUTED_VALUE"""),52.44)</f>
        <v>52.44</v>
      </c>
      <c r="D514" s="1">
        <f>IFERROR(__xludf.DUMMYFUNCTION("""COMPUTED_VALUE"""),51.47)</f>
        <v>51.47</v>
      </c>
      <c r="E514" s="1">
        <f>IFERROR(__xludf.DUMMYFUNCTION("""COMPUTED_VALUE"""),51.55)</f>
        <v>51.55</v>
      </c>
      <c r="F514" s="1">
        <f>IFERROR(__xludf.DUMMYFUNCTION("""COMPUTED_VALUE"""),25487.0)</f>
        <v>25487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IFERROR(__xludf.DUMMYFUNCTION("""COMPUTED_VALUE"""),51.81)</f>
        <v>51.81</v>
      </c>
      <c r="C515" s="1">
        <f>IFERROR(__xludf.DUMMYFUNCTION("""COMPUTED_VALUE"""),51.97)</f>
        <v>51.97</v>
      </c>
      <c r="D515" s="1">
        <f>IFERROR(__xludf.DUMMYFUNCTION("""COMPUTED_VALUE"""),50.63)</f>
        <v>50.63</v>
      </c>
      <c r="E515" s="1">
        <f>IFERROR(__xludf.DUMMYFUNCTION("""COMPUTED_VALUE"""),51.65)</f>
        <v>51.65</v>
      </c>
      <c r="F515" s="1">
        <f>IFERROR(__xludf.DUMMYFUNCTION("""COMPUTED_VALUE"""),63950.0)</f>
        <v>63950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IFERROR(__xludf.DUMMYFUNCTION("""COMPUTED_VALUE"""),51.69)</f>
        <v>51.69</v>
      </c>
      <c r="C516" s="1">
        <f>IFERROR(__xludf.DUMMYFUNCTION("""COMPUTED_VALUE"""),51.84)</f>
        <v>51.84</v>
      </c>
      <c r="D516" s="1">
        <f>IFERROR(__xludf.DUMMYFUNCTION("""COMPUTED_VALUE"""),50.97)</f>
        <v>50.97</v>
      </c>
      <c r="E516" s="1">
        <f>IFERROR(__xludf.DUMMYFUNCTION("""COMPUTED_VALUE"""),51.7)</f>
        <v>51.7</v>
      </c>
      <c r="F516" s="1">
        <f>IFERROR(__xludf.DUMMYFUNCTION("""COMPUTED_VALUE"""),36642.0)</f>
        <v>36642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IFERROR(__xludf.DUMMYFUNCTION("""COMPUTED_VALUE"""),51.75)</f>
        <v>51.75</v>
      </c>
      <c r="C517" s="1">
        <f>IFERROR(__xludf.DUMMYFUNCTION("""COMPUTED_VALUE"""),52.47)</f>
        <v>52.47</v>
      </c>
      <c r="D517" s="1">
        <f>IFERROR(__xludf.DUMMYFUNCTION("""COMPUTED_VALUE"""),49.51)</f>
        <v>49.51</v>
      </c>
      <c r="E517" s="1">
        <f>IFERROR(__xludf.DUMMYFUNCTION("""COMPUTED_VALUE"""),52.37)</f>
        <v>52.37</v>
      </c>
      <c r="F517" s="1">
        <f>IFERROR(__xludf.DUMMYFUNCTION("""COMPUTED_VALUE"""),32002.0)</f>
        <v>32002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IFERROR(__xludf.DUMMYFUNCTION("""COMPUTED_VALUE"""),52.13)</f>
        <v>52.13</v>
      </c>
      <c r="C518" s="1">
        <f>IFERROR(__xludf.DUMMYFUNCTION("""COMPUTED_VALUE"""),52.75)</f>
        <v>52.75</v>
      </c>
      <c r="D518" s="1">
        <f>IFERROR(__xludf.DUMMYFUNCTION("""COMPUTED_VALUE"""),51.74)</f>
        <v>51.74</v>
      </c>
      <c r="E518" s="1">
        <f>IFERROR(__xludf.DUMMYFUNCTION("""COMPUTED_VALUE"""),52.66)</f>
        <v>52.66</v>
      </c>
      <c r="F518" s="1">
        <f>IFERROR(__xludf.DUMMYFUNCTION("""COMPUTED_VALUE"""),31187.0)</f>
        <v>31187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IFERROR(__xludf.DUMMYFUNCTION("""COMPUTED_VALUE"""),52.55)</f>
        <v>52.55</v>
      </c>
      <c r="C519" s="1">
        <f>IFERROR(__xludf.DUMMYFUNCTION("""COMPUTED_VALUE"""),52.55)</f>
        <v>52.55</v>
      </c>
      <c r="D519" s="1">
        <f>IFERROR(__xludf.DUMMYFUNCTION("""COMPUTED_VALUE"""),51.76)</f>
        <v>51.76</v>
      </c>
      <c r="E519" s="1">
        <f>IFERROR(__xludf.DUMMYFUNCTION("""COMPUTED_VALUE"""),52.19)</f>
        <v>52.19</v>
      </c>
      <c r="F519" s="1">
        <f>IFERROR(__xludf.DUMMYFUNCTION("""COMPUTED_VALUE"""),23348.0)</f>
        <v>23348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IFERROR(__xludf.DUMMYFUNCTION("""COMPUTED_VALUE"""),48.15)</f>
        <v>48.15</v>
      </c>
      <c r="C520" s="1">
        <f>IFERROR(__xludf.DUMMYFUNCTION("""COMPUTED_VALUE"""),50.22)</f>
        <v>50.22</v>
      </c>
      <c r="D520" s="1">
        <f>IFERROR(__xludf.DUMMYFUNCTION("""COMPUTED_VALUE"""),46.73)</f>
        <v>46.73</v>
      </c>
      <c r="E520" s="1">
        <f>IFERROR(__xludf.DUMMYFUNCTION("""COMPUTED_VALUE"""),50.06)</f>
        <v>50.06</v>
      </c>
      <c r="F520" s="1">
        <f>IFERROR(__xludf.DUMMYFUNCTION("""COMPUTED_VALUE"""),139518.0)</f>
        <v>139518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IFERROR(__xludf.DUMMYFUNCTION("""COMPUTED_VALUE"""),49.91)</f>
        <v>49.91</v>
      </c>
      <c r="C521" s="1">
        <f>IFERROR(__xludf.DUMMYFUNCTION("""COMPUTED_VALUE"""),50.28)</f>
        <v>50.28</v>
      </c>
      <c r="D521" s="1">
        <f>IFERROR(__xludf.DUMMYFUNCTION("""COMPUTED_VALUE"""),48.65)</f>
        <v>48.65</v>
      </c>
      <c r="E521" s="1">
        <f>IFERROR(__xludf.DUMMYFUNCTION("""COMPUTED_VALUE"""),49.96)</f>
        <v>49.96</v>
      </c>
      <c r="F521" s="1">
        <f>IFERROR(__xludf.DUMMYFUNCTION("""COMPUTED_VALUE"""),57239.0)</f>
        <v>57239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IFERROR(__xludf.DUMMYFUNCTION("""COMPUTED_VALUE"""),50.05)</f>
        <v>50.05</v>
      </c>
      <c r="C522" s="1">
        <f>IFERROR(__xludf.DUMMYFUNCTION("""COMPUTED_VALUE"""),50.21)</f>
        <v>50.21</v>
      </c>
      <c r="D522" s="1">
        <f>IFERROR(__xludf.DUMMYFUNCTION("""COMPUTED_VALUE"""),49.77)</f>
        <v>49.77</v>
      </c>
      <c r="E522" s="1">
        <f>IFERROR(__xludf.DUMMYFUNCTION("""COMPUTED_VALUE"""),49.98)</f>
        <v>49.98</v>
      </c>
      <c r="F522" s="1">
        <f>IFERROR(__xludf.DUMMYFUNCTION("""COMPUTED_VALUE"""),31694.0)</f>
        <v>31694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IFERROR(__xludf.DUMMYFUNCTION("""COMPUTED_VALUE"""),49.8)</f>
        <v>49.8</v>
      </c>
      <c r="C523" s="1">
        <f>IFERROR(__xludf.DUMMYFUNCTION("""COMPUTED_VALUE"""),50.85)</f>
        <v>50.85</v>
      </c>
      <c r="D523" s="1">
        <f>IFERROR(__xludf.DUMMYFUNCTION("""COMPUTED_VALUE"""),49.8)</f>
        <v>49.8</v>
      </c>
      <c r="E523" s="1">
        <f>IFERROR(__xludf.DUMMYFUNCTION("""COMPUTED_VALUE"""),50.45)</f>
        <v>50.45</v>
      </c>
      <c r="F523" s="1">
        <f>IFERROR(__xludf.DUMMYFUNCTION("""COMPUTED_VALUE"""),24182.0)</f>
        <v>24182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IFERROR(__xludf.DUMMYFUNCTION("""COMPUTED_VALUE"""),49.9)</f>
        <v>49.9</v>
      </c>
      <c r="C524" s="1">
        <f>IFERROR(__xludf.DUMMYFUNCTION("""COMPUTED_VALUE"""),50.73)</f>
        <v>50.73</v>
      </c>
      <c r="D524" s="1">
        <f>IFERROR(__xludf.DUMMYFUNCTION("""COMPUTED_VALUE"""),49.83)</f>
        <v>49.83</v>
      </c>
      <c r="E524" s="1">
        <f>IFERROR(__xludf.DUMMYFUNCTION("""COMPUTED_VALUE"""),50.5)</f>
        <v>50.5</v>
      </c>
      <c r="F524" s="1">
        <f>IFERROR(__xludf.DUMMYFUNCTION("""COMPUTED_VALUE"""),33560.0)</f>
        <v>33560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IFERROR(__xludf.DUMMYFUNCTION("""COMPUTED_VALUE"""),50.89)</f>
        <v>50.89</v>
      </c>
      <c r="C525" s="1">
        <f>IFERROR(__xludf.DUMMYFUNCTION("""COMPUTED_VALUE"""),51.16)</f>
        <v>51.16</v>
      </c>
      <c r="D525" s="1">
        <f>IFERROR(__xludf.DUMMYFUNCTION("""COMPUTED_VALUE"""),50.02)</f>
        <v>50.02</v>
      </c>
      <c r="E525" s="1">
        <f>IFERROR(__xludf.DUMMYFUNCTION("""COMPUTED_VALUE"""),51.03)</f>
        <v>51.03</v>
      </c>
      <c r="F525" s="1">
        <f>IFERROR(__xludf.DUMMYFUNCTION("""COMPUTED_VALUE"""),55002.0)</f>
        <v>55002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IFERROR(__xludf.DUMMYFUNCTION("""COMPUTED_VALUE"""),51.15)</f>
        <v>51.15</v>
      </c>
      <c r="C526" s="1">
        <f>IFERROR(__xludf.DUMMYFUNCTION("""COMPUTED_VALUE"""),51.89)</f>
        <v>51.89</v>
      </c>
      <c r="D526" s="1">
        <f>IFERROR(__xludf.DUMMYFUNCTION("""COMPUTED_VALUE"""),50.87)</f>
        <v>50.87</v>
      </c>
      <c r="E526" s="1">
        <f>IFERROR(__xludf.DUMMYFUNCTION("""COMPUTED_VALUE"""),51.68)</f>
        <v>51.68</v>
      </c>
      <c r="F526" s="1">
        <f>IFERROR(__xludf.DUMMYFUNCTION("""COMPUTED_VALUE"""),78296.0)</f>
        <v>78296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IFERROR(__xludf.DUMMYFUNCTION("""COMPUTED_VALUE"""),51.63)</f>
        <v>51.63</v>
      </c>
      <c r="C527" s="1">
        <f>IFERROR(__xludf.DUMMYFUNCTION("""COMPUTED_VALUE"""),52.62)</f>
        <v>52.62</v>
      </c>
      <c r="D527" s="1">
        <f>IFERROR(__xludf.DUMMYFUNCTION("""COMPUTED_VALUE"""),51.31)</f>
        <v>51.31</v>
      </c>
      <c r="E527" s="1">
        <f>IFERROR(__xludf.DUMMYFUNCTION("""COMPUTED_VALUE"""),52.24)</f>
        <v>52.24</v>
      </c>
      <c r="F527" s="1">
        <f>IFERROR(__xludf.DUMMYFUNCTION("""COMPUTED_VALUE"""),37933.0)</f>
        <v>37933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IFERROR(__xludf.DUMMYFUNCTION("""COMPUTED_VALUE"""),52.91)</f>
        <v>52.91</v>
      </c>
      <c r="C528" s="1">
        <f>IFERROR(__xludf.DUMMYFUNCTION("""COMPUTED_VALUE"""),53.71)</f>
        <v>53.71</v>
      </c>
      <c r="D528" s="1">
        <f>IFERROR(__xludf.DUMMYFUNCTION("""COMPUTED_VALUE"""),52.51)</f>
        <v>52.51</v>
      </c>
      <c r="E528" s="1">
        <f>IFERROR(__xludf.DUMMYFUNCTION("""COMPUTED_VALUE"""),52.87)</f>
        <v>52.87</v>
      </c>
      <c r="F528" s="1">
        <f>IFERROR(__xludf.DUMMYFUNCTION("""COMPUTED_VALUE"""),53943.0)</f>
        <v>53943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IFERROR(__xludf.DUMMYFUNCTION("""COMPUTED_VALUE"""),52.36)</f>
        <v>52.36</v>
      </c>
      <c r="C529" s="1">
        <f>IFERROR(__xludf.DUMMYFUNCTION("""COMPUTED_VALUE"""),52.77)</f>
        <v>52.77</v>
      </c>
      <c r="D529" s="1">
        <f>IFERROR(__xludf.DUMMYFUNCTION("""COMPUTED_VALUE"""),52.03)</f>
        <v>52.03</v>
      </c>
      <c r="E529" s="1">
        <f>IFERROR(__xludf.DUMMYFUNCTION("""COMPUTED_VALUE"""),52.37)</f>
        <v>52.37</v>
      </c>
      <c r="F529" s="1">
        <f>IFERROR(__xludf.DUMMYFUNCTION("""COMPUTED_VALUE"""),36515.0)</f>
        <v>36515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IFERROR(__xludf.DUMMYFUNCTION("""COMPUTED_VALUE"""),52.46)</f>
        <v>52.46</v>
      </c>
      <c r="C530" s="1">
        <f>IFERROR(__xludf.DUMMYFUNCTION("""COMPUTED_VALUE"""),52.71)</f>
        <v>52.71</v>
      </c>
      <c r="D530" s="1">
        <f>IFERROR(__xludf.DUMMYFUNCTION("""COMPUTED_VALUE"""),51.29)</f>
        <v>51.29</v>
      </c>
      <c r="E530" s="1">
        <f>IFERROR(__xludf.DUMMYFUNCTION("""COMPUTED_VALUE"""),51.44)</f>
        <v>51.44</v>
      </c>
      <c r="F530" s="1">
        <f>IFERROR(__xludf.DUMMYFUNCTION("""COMPUTED_VALUE"""),53809.0)</f>
        <v>53809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IFERROR(__xludf.DUMMYFUNCTION("""COMPUTED_VALUE"""),51.43)</f>
        <v>51.43</v>
      </c>
      <c r="C531" s="1">
        <f>IFERROR(__xludf.DUMMYFUNCTION("""COMPUTED_VALUE"""),52.34)</f>
        <v>52.34</v>
      </c>
      <c r="D531" s="1">
        <f>IFERROR(__xludf.DUMMYFUNCTION("""COMPUTED_VALUE"""),51.31)</f>
        <v>51.31</v>
      </c>
      <c r="E531" s="1">
        <f>IFERROR(__xludf.DUMMYFUNCTION("""COMPUTED_VALUE"""),51.95)</f>
        <v>51.95</v>
      </c>
      <c r="F531" s="1">
        <f>IFERROR(__xludf.DUMMYFUNCTION("""COMPUTED_VALUE"""),58035.0)</f>
        <v>58035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IFERROR(__xludf.DUMMYFUNCTION("""COMPUTED_VALUE"""),51.84)</f>
        <v>51.84</v>
      </c>
      <c r="C532" s="1">
        <f>IFERROR(__xludf.DUMMYFUNCTION("""COMPUTED_VALUE"""),52.18)</f>
        <v>52.18</v>
      </c>
      <c r="D532" s="1">
        <f>IFERROR(__xludf.DUMMYFUNCTION("""COMPUTED_VALUE"""),51.6)</f>
        <v>51.6</v>
      </c>
      <c r="E532" s="1">
        <f>IFERROR(__xludf.DUMMYFUNCTION("""COMPUTED_VALUE"""),51.93)</f>
        <v>51.93</v>
      </c>
      <c r="F532" s="1">
        <f>IFERROR(__xludf.DUMMYFUNCTION("""COMPUTED_VALUE"""),41142.0)</f>
        <v>41142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IFERROR(__xludf.DUMMYFUNCTION("""COMPUTED_VALUE"""),51.26)</f>
        <v>51.26</v>
      </c>
      <c r="C533" s="1">
        <f>IFERROR(__xludf.DUMMYFUNCTION("""COMPUTED_VALUE"""),51.97)</f>
        <v>51.97</v>
      </c>
      <c r="D533" s="1">
        <f>IFERROR(__xludf.DUMMYFUNCTION("""COMPUTED_VALUE"""),50.89)</f>
        <v>50.89</v>
      </c>
      <c r="E533" s="1">
        <f>IFERROR(__xludf.DUMMYFUNCTION("""COMPUTED_VALUE"""),50.89)</f>
        <v>50.89</v>
      </c>
      <c r="F533" s="1">
        <f>IFERROR(__xludf.DUMMYFUNCTION("""COMPUTED_VALUE"""),46299.0)</f>
        <v>46299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IFERROR(__xludf.DUMMYFUNCTION("""COMPUTED_VALUE"""),51.6)</f>
        <v>51.6</v>
      </c>
      <c r="C534" s="1">
        <f>IFERROR(__xludf.DUMMYFUNCTION("""COMPUTED_VALUE"""),52.05)</f>
        <v>52.05</v>
      </c>
      <c r="D534" s="1">
        <f>IFERROR(__xludf.DUMMYFUNCTION("""COMPUTED_VALUE"""),51.21)</f>
        <v>51.21</v>
      </c>
      <c r="E534" s="1">
        <f>IFERROR(__xludf.DUMMYFUNCTION("""COMPUTED_VALUE"""),51.72)</f>
        <v>51.72</v>
      </c>
      <c r="F534" s="1">
        <f>IFERROR(__xludf.DUMMYFUNCTION("""COMPUTED_VALUE"""),27529.0)</f>
        <v>27529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IFERROR(__xludf.DUMMYFUNCTION("""COMPUTED_VALUE"""),51.22)</f>
        <v>51.22</v>
      </c>
      <c r="C535" s="1">
        <f>IFERROR(__xludf.DUMMYFUNCTION("""COMPUTED_VALUE"""),51.85)</f>
        <v>51.85</v>
      </c>
      <c r="D535" s="1">
        <f>IFERROR(__xludf.DUMMYFUNCTION("""COMPUTED_VALUE"""),50.78)</f>
        <v>50.78</v>
      </c>
      <c r="E535" s="1">
        <f>IFERROR(__xludf.DUMMYFUNCTION("""COMPUTED_VALUE"""),50.99)</f>
        <v>50.99</v>
      </c>
      <c r="F535" s="1">
        <f>IFERROR(__xludf.DUMMYFUNCTION("""COMPUTED_VALUE"""),33364.0)</f>
        <v>33364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IFERROR(__xludf.DUMMYFUNCTION("""COMPUTED_VALUE"""),51.1)</f>
        <v>51.1</v>
      </c>
      <c r="C536" s="1">
        <f>IFERROR(__xludf.DUMMYFUNCTION("""COMPUTED_VALUE"""),51.37)</f>
        <v>51.37</v>
      </c>
      <c r="D536" s="1">
        <f>IFERROR(__xludf.DUMMYFUNCTION("""COMPUTED_VALUE"""),50.06)</f>
        <v>50.06</v>
      </c>
      <c r="E536" s="1">
        <f>IFERROR(__xludf.DUMMYFUNCTION("""COMPUTED_VALUE"""),50.16)</f>
        <v>50.16</v>
      </c>
      <c r="F536" s="1">
        <f>IFERROR(__xludf.DUMMYFUNCTION("""COMPUTED_VALUE"""),42942.0)</f>
        <v>42942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IFERROR(__xludf.DUMMYFUNCTION("""COMPUTED_VALUE"""),50.19)</f>
        <v>50.19</v>
      </c>
      <c r="C537" s="1">
        <f>IFERROR(__xludf.DUMMYFUNCTION("""COMPUTED_VALUE"""),51.58)</f>
        <v>51.58</v>
      </c>
      <c r="D537" s="1">
        <f>IFERROR(__xludf.DUMMYFUNCTION("""COMPUTED_VALUE"""),50.19)</f>
        <v>50.19</v>
      </c>
      <c r="E537" s="1">
        <f>IFERROR(__xludf.DUMMYFUNCTION("""COMPUTED_VALUE"""),51.15)</f>
        <v>51.15</v>
      </c>
      <c r="F537" s="1">
        <f>IFERROR(__xludf.DUMMYFUNCTION("""COMPUTED_VALUE"""),48341.0)</f>
        <v>48341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IFERROR(__xludf.DUMMYFUNCTION("""COMPUTED_VALUE"""),51.43)</f>
        <v>51.43</v>
      </c>
      <c r="C538" s="1">
        <f>IFERROR(__xludf.DUMMYFUNCTION("""COMPUTED_VALUE"""),51.53)</f>
        <v>51.53</v>
      </c>
      <c r="D538" s="1">
        <f>IFERROR(__xludf.DUMMYFUNCTION("""COMPUTED_VALUE"""),50.74)</f>
        <v>50.74</v>
      </c>
      <c r="E538" s="1">
        <f>IFERROR(__xludf.DUMMYFUNCTION("""COMPUTED_VALUE"""),51.08)</f>
        <v>51.08</v>
      </c>
      <c r="F538" s="1">
        <f>IFERROR(__xludf.DUMMYFUNCTION("""COMPUTED_VALUE"""),27324.0)</f>
        <v>27324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IFERROR(__xludf.DUMMYFUNCTION("""COMPUTED_VALUE"""),51.05)</f>
        <v>51.05</v>
      </c>
      <c r="C539" s="1">
        <f>IFERROR(__xludf.DUMMYFUNCTION("""COMPUTED_VALUE"""),51.28)</f>
        <v>51.28</v>
      </c>
      <c r="D539" s="1">
        <f>IFERROR(__xludf.DUMMYFUNCTION("""COMPUTED_VALUE"""),50.75)</f>
        <v>50.75</v>
      </c>
      <c r="E539" s="1">
        <f>IFERROR(__xludf.DUMMYFUNCTION("""COMPUTED_VALUE"""),50.87)</f>
        <v>50.87</v>
      </c>
      <c r="F539" s="1">
        <f>IFERROR(__xludf.DUMMYFUNCTION("""COMPUTED_VALUE"""),21952.0)</f>
        <v>21952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IFERROR(__xludf.DUMMYFUNCTION("""COMPUTED_VALUE"""),50.74)</f>
        <v>50.74</v>
      </c>
      <c r="C540" s="1">
        <f>IFERROR(__xludf.DUMMYFUNCTION("""COMPUTED_VALUE"""),50.94)</f>
        <v>50.94</v>
      </c>
      <c r="D540" s="1">
        <f>IFERROR(__xludf.DUMMYFUNCTION("""COMPUTED_VALUE"""),50.37)</f>
        <v>50.37</v>
      </c>
      <c r="E540" s="1">
        <f>IFERROR(__xludf.DUMMYFUNCTION("""COMPUTED_VALUE"""),50.4)</f>
        <v>50.4</v>
      </c>
      <c r="F540" s="1">
        <f>IFERROR(__xludf.DUMMYFUNCTION("""COMPUTED_VALUE"""),23110.0)</f>
        <v>23110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IFERROR(__xludf.DUMMYFUNCTION("""COMPUTED_VALUE"""),50.45)</f>
        <v>50.45</v>
      </c>
      <c r="C541" s="1">
        <f>IFERROR(__xludf.DUMMYFUNCTION("""COMPUTED_VALUE"""),51.92)</f>
        <v>51.92</v>
      </c>
      <c r="D541" s="1">
        <f>IFERROR(__xludf.DUMMYFUNCTION("""COMPUTED_VALUE"""),50.19)</f>
        <v>50.19</v>
      </c>
      <c r="E541" s="1">
        <f>IFERROR(__xludf.DUMMYFUNCTION("""COMPUTED_VALUE"""),51.88)</f>
        <v>51.88</v>
      </c>
      <c r="F541" s="1">
        <f>IFERROR(__xludf.DUMMYFUNCTION("""COMPUTED_VALUE"""),39212.0)</f>
        <v>39212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IFERROR(__xludf.DUMMYFUNCTION("""COMPUTED_VALUE"""),51.74)</f>
        <v>51.74</v>
      </c>
      <c r="C542" s="1">
        <f>IFERROR(__xludf.DUMMYFUNCTION("""COMPUTED_VALUE"""),51.74)</f>
        <v>51.74</v>
      </c>
      <c r="D542" s="1">
        <f>IFERROR(__xludf.DUMMYFUNCTION("""COMPUTED_VALUE"""),50.87)</f>
        <v>50.87</v>
      </c>
      <c r="E542" s="1">
        <f>IFERROR(__xludf.DUMMYFUNCTION("""COMPUTED_VALUE"""),51.33)</f>
        <v>51.33</v>
      </c>
      <c r="F542" s="1">
        <f>IFERROR(__xludf.DUMMYFUNCTION("""COMPUTED_VALUE"""),29522.0)</f>
        <v>29522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IFERROR(__xludf.DUMMYFUNCTION("""COMPUTED_VALUE"""),50.72)</f>
        <v>50.72</v>
      </c>
      <c r="C543" s="1">
        <f>IFERROR(__xludf.DUMMYFUNCTION("""COMPUTED_VALUE"""),50.9)</f>
        <v>50.9</v>
      </c>
      <c r="D543" s="1">
        <f>IFERROR(__xludf.DUMMYFUNCTION("""COMPUTED_VALUE"""),50.1)</f>
        <v>50.1</v>
      </c>
      <c r="E543" s="1">
        <f>IFERROR(__xludf.DUMMYFUNCTION("""COMPUTED_VALUE"""),50.46)</f>
        <v>50.46</v>
      </c>
      <c r="F543" s="1">
        <f>IFERROR(__xludf.DUMMYFUNCTION("""COMPUTED_VALUE"""),46787.0)</f>
        <v>46787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IFERROR(__xludf.DUMMYFUNCTION("""COMPUTED_VALUE"""),50.3)</f>
        <v>50.3</v>
      </c>
      <c r="C544" s="1">
        <f>IFERROR(__xludf.DUMMYFUNCTION("""COMPUTED_VALUE"""),50.91)</f>
        <v>50.91</v>
      </c>
      <c r="D544" s="1">
        <f>IFERROR(__xludf.DUMMYFUNCTION("""COMPUTED_VALUE"""),50.1)</f>
        <v>50.1</v>
      </c>
      <c r="E544" s="1">
        <f>IFERROR(__xludf.DUMMYFUNCTION("""COMPUTED_VALUE"""),50.26)</f>
        <v>50.26</v>
      </c>
      <c r="F544" s="1">
        <f>IFERROR(__xludf.DUMMYFUNCTION("""COMPUTED_VALUE"""),38243.0)</f>
        <v>38243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IFERROR(__xludf.DUMMYFUNCTION("""COMPUTED_VALUE"""),50.24)</f>
        <v>50.24</v>
      </c>
      <c r="C545" s="1">
        <f>IFERROR(__xludf.DUMMYFUNCTION("""COMPUTED_VALUE"""),50.75)</f>
        <v>50.75</v>
      </c>
      <c r="D545" s="1">
        <f>IFERROR(__xludf.DUMMYFUNCTION("""COMPUTED_VALUE"""),50.13)</f>
        <v>50.13</v>
      </c>
      <c r="E545" s="1">
        <f>IFERROR(__xludf.DUMMYFUNCTION("""COMPUTED_VALUE"""),50.17)</f>
        <v>50.17</v>
      </c>
      <c r="F545" s="1">
        <f>IFERROR(__xludf.DUMMYFUNCTION("""COMPUTED_VALUE"""),58882.0)</f>
        <v>58882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IFERROR(__xludf.DUMMYFUNCTION("""COMPUTED_VALUE"""),50.5)</f>
        <v>50.5</v>
      </c>
      <c r="C546" s="1">
        <f>IFERROR(__xludf.DUMMYFUNCTION("""COMPUTED_VALUE"""),50.78)</f>
        <v>50.78</v>
      </c>
      <c r="D546" s="1">
        <f>IFERROR(__xludf.DUMMYFUNCTION("""COMPUTED_VALUE"""),50.06)</f>
        <v>50.06</v>
      </c>
      <c r="E546" s="1">
        <f>IFERROR(__xludf.DUMMYFUNCTION("""COMPUTED_VALUE"""),50.09)</f>
        <v>50.09</v>
      </c>
      <c r="F546" s="1">
        <f>IFERROR(__xludf.DUMMYFUNCTION("""COMPUTED_VALUE"""),67574.0)</f>
        <v>67574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IFERROR(__xludf.DUMMYFUNCTION("""COMPUTED_VALUE"""),50.0)</f>
        <v>50</v>
      </c>
      <c r="C547" s="1">
        <f>IFERROR(__xludf.DUMMYFUNCTION("""COMPUTED_VALUE"""),50.12)</f>
        <v>50.12</v>
      </c>
      <c r="D547" s="1">
        <f>IFERROR(__xludf.DUMMYFUNCTION("""COMPUTED_VALUE"""),49.05)</f>
        <v>49.05</v>
      </c>
      <c r="E547" s="1">
        <f>IFERROR(__xludf.DUMMYFUNCTION("""COMPUTED_VALUE"""),49.41)</f>
        <v>49.41</v>
      </c>
      <c r="F547" s="1">
        <f>IFERROR(__xludf.DUMMYFUNCTION("""COMPUTED_VALUE"""),42176.0)</f>
        <v>42176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IFERROR(__xludf.DUMMYFUNCTION("""COMPUTED_VALUE"""),49.4)</f>
        <v>49.4</v>
      </c>
      <c r="C548" s="1">
        <f>IFERROR(__xludf.DUMMYFUNCTION("""COMPUTED_VALUE"""),49.8)</f>
        <v>49.8</v>
      </c>
      <c r="D548" s="1">
        <f>IFERROR(__xludf.DUMMYFUNCTION("""COMPUTED_VALUE"""),49.28)</f>
        <v>49.28</v>
      </c>
      <c r="E548" s="1">
        <f>IFERROR(__xludf.DUMMYFUNCTION("""COMPUTED_VALUE"""),49.79)</f>
        <v>49.79</v>
      </c>
      <c r="F548" s="1">
        <f>IFERROR(__xludf.DUMMYFUNCTION("""COMPUTED_VALUE"""),21935.0)</f>
        <v>21935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IFERROR(__xludf.DUMMYFUNCTION("""COMPUTED_VALUE"""),49.15)</f>
        <v>49.15</v>
      </c>
      <c r="C549" s="1">
        <f>IFERROR(__xludf.DUMMYFUNCTION("""COMPUTED_VALUE"""),49.77)</f>
        <v>49.77</v>
      </c>
      <c r="D549" s="1">
        <f>IFERROR(__xludf.DUMMYFUNCTION("""COMPUTED_VALUE"""),48.93)</f>
        <v>48.93</v>
      </c>
      <c r="E549" s="1">
        <f>IFERROR(__xludf.DUMMYFUNCTION("""COMPUTED_VALUE"""),49.21)</f>
        <v>49.21</v>
      </c>
      <c r="F549" s="1">
        <f>IFERROR(__xludf.DUMMYFUNCTION("""COMPUTED_VALUE"""),30478.0)</f>
        <v>30478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IFERROR(__xludf.DUMMYFUNCTION("""COMPUTED_VALUE"""),49.25)</f>
        <v>49.25</v>
      </c>
      <c r="C550" s="1">
        <f>IFERROR(__xludf.DUMMYFUNCTION("""COMPUTED_VALUE"""),49.71)</f>
        <v>49.71</v>
      </c>
      <c r="D550" s="1">
        <f>IFERROR(__xludf.DUMMYFUNCTION("""COMPUTED_VALUE"""),48.94)</f>
        <v>48.94</v>
      </c>
      <c r="E550" s="1">
        <f>IFERROR(__xludf.DUMMYFUNCTION("""COMPUTED_VALUE"""),49.66)</f>
        <v>49.66</v>
      </c>
      <c r="F550" s="1">
        <f>IFERROR(__xludf.DUMMYFUNCTION("""COMPUTED_VALUE"""),33188.0)</f>
        <v>33188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IFERROR(__xludf.DUMMYFUNCTION("""COMPUTED_VALUE"""),49.83)</f>
        <v>49.83</v>
      </c>
      <c r="C551" s="1">
        <f>IFERROR(__xludf.DUMMYFUNCTION("""COMPUTED_VALUE"""),50.22)</f>
        <v>50.22</v>
      </c>
      <c r="D551" s="1">
        <f>IFERROR(__xludf.DUMMYFUNCTION("""COMPUTED_VALUE"""),49.12)</f>
        <v>49.12</v>
      </c>
      <c r="E551" s="1">
        <f>IFERROR(__xludf.DUMMYFUNCTION("""COMPUTED_VALUE"""),50.12)</f>
        <v>50.12</v>
      </c>
      <c r="F551" s="1">
        <f>IFERROR(__xludf.DUMMYFUNCTION("""COMPUTED_VALUE"""),23090.0)</f>
        <v>23090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IFERROR(__xludf.DUMMYFUNCTION("""COMPUTED_VALUE"""),50.0)</f>
        <v>50</v>
      </c>
      <c r="C552" s="1">
        <f>IFERROR(__xludf.DUMMYFUNCTION("""COMPUTED_VALUE"""),50.92)</f>
        <v>50.92</v>
      </c>
      <c r="D552" s="1">
        <f>IFERROR(__xludf.DUMMYFUNCTION("""COMPUTED_VALUE"""),49.72)</f>
        <v>49.72</v>
      </c>
      <c r="E552" s="1">
        <f>IFERROR(__xludf.DUMMYFUNCTION("""COMPUTED_VALUE"""),50.33)</f>
        <v>50.33</v>
      </c>
      <c r="F552" s="1">
        <f>IFERROR(__xludf.DUMMYFUNCTION("""COMPUTED_VALUE"""),32453.0)</f>
        <v>32453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IFERROR(__xludf.DUMMYFUNCTION("""COMPUTED_VALUE"""),50.17)</f>
        <v>50.17</v>
      </c>
      <c r="C553" s="1">
        <f>IFERROR(__xludf.DUMMYFUNCTION("""COMPUTED_VALUE"""),51.14)</f>
        <v>51.14</v>
      </c>
      <c r="D553" s="1">
        <f>IFERROR(__xludf.DUMMYFUNCTION("""COMPUTED_VALUE"""),50.17)</f>
        <v>50.17</v>
      </c>
      <c r="E553" s="1">
        <f>IFERROR(__xludf.DUMMYFUNCTION("""COMPUTED_VALUE"""),50.95)</f>
        <v>50.95</v>
      </c>
      <c r="F553" s="1">
        <f>IFERROR(__xludf.DUMMYFUNCTION("""COMPUTED_VALUE"""),45163.0)</f>
        <v>45163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IFERROR(__xludf.DUMMYFUNCTION("""COMPUTED_VALUE"""),51.24)</f>
        <v>51.24</v>
      </c>
      <c r="C554" s="1">
        <f>IFERROR(__xludf.DUMMYFUNCTION("""COMPUTED_VALUE"""),51.44)</f>
        <v>51.44</v>
      </c>
      <c r="D554" s="1">
        <f>IFERROR(__xludf.DUMMYFUNCTION("""COMPUTED_VALUE"""),50.7)</f>
        <v>50.7</v>
      </c>
      <c r="E554" s="1">
        <f>IFERROR(__xludf.DUMMYFUNCTION("""COMPUTED_VALUE"""),51.41)</f>
        <v>51.41</v>
      </c>
      <c r="F554" s="1">
        <f>IFERROR(__xludf.DUMMYFUNCTION("""COMPUTED_VALUE"""),21612.0)</f>
        <v>21612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IFERROR(__xludf.DUMMYFUNCTION("""COMPUTED_VALUE"""),51.21)</f>
        <v>51.21</v>
      </c>
      <c r="C555" s="1">
        <f>IFERROR(__xludf.DUMMYFUNCTION("""COMPUTED_VALUE"""),51.45)</f>
        <v>51.45</v>
      </c>
      <c r="D555" s="1">
        <f>IFERROR(__xludf.DUMMYFUNCTION("""COMPUTED_VALUE"""),50.45)</f>
        <v>50.45</v>
      </c>
      <c r="E555" s="1">
        <f>IFERROR(__xludf.DUMMYFUNCTION("""COMPUTED_VALUE"""),50.64)</f>
        <v>50.64</v>
      </c>
      <c r="F555" s="1">
        <f>IFERROR(__xludf.DUMMYFUNCTION("""COMPUTED_VALUE"""),16628.0)</f>
        <v>16628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IFERROR(__xludf.DUMMYFUNCTION("""COMPUTED_VALUE"""),50.81)</f>
        <v>50.81</v>
      </c>
      <c r="C556" s="1">
        <f>IFERROR(__xludf.DUMMYFUNCTION("""COMPUTED_VALUE"""),50.95)</f>
        <v>50.95</v>
      </c>
      <c r="D556" s="1">
        <f>IFERROR(__xludf.DUMMYFUNCTION("""COMPUTED_VALUE"""),50.0)</f>
        <v>50</v>
      </c>
      <c r="E556" s="1">
        <f>IFERROR(__xludf.DUMMYFUNCTION("""COMPUTED_VALUE"""),50.88)</f>
        <v>50.88</v>
      </c>
      <c r="F556" s="1">
        <f>IFERROR(__xludf.DUMMYFUNCTION("""COMPUTED_VALUE"""),25138.0)</f>
        <v>25138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IFERROR(__xludf.DUMMYFUNCTION("""COMPUTED_VALUE"""),50.96)</f>
        <v>50.96</v>
      </c>
      <c r="C557" s="1">
        <f>IFERROR(__xludf.DUMMYFUNCTION("""COMPUTED_VALUE"""),51.1)</f>
        <v>51.1</v>
      </c>
      <c r="D557" s="1">
        <f>IFERROR(__xludf.DUMMYFUNCTION("""COMPUTED_VALUE"""),50.5)</f>
        <v>50.5</v>
      </c>
      <c r="E557" s="1">
        <f>IFERROR(__xludf.DUMMYFUNCTION("""COMPUTED_VALUE"""),50.63)</f>
        <v>50.63</v>
      </c>
      <c r="F557" s="1">
        <f>IFERROR(__xludf.DUMMYFUNCTION("""COMPUTED_VALUE"""),67511.0)</f>
        <v>67511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IFERROR(__xludf.DUMMYFUNCTION("""COMPUTED_VALUE"""),50.51)</f>
        <v>50.51</v>
      </c>
      <c r="C558" s="1">
        <f>IFERROR(__xludf.DUMMYFUNCTION("""COMPUTED_VALUE"""),51.66)</f>
        <v>51.66</v>
      </c>
      <c r="D558" s="1">
        <f>IFERROR(__xludf.DUMMYFUNCTION("""COMPUTED_VALUE"""),50.51)</f>
        <v>50.51</v>
      </c>
      <c r="E558" s="1">
        <f>IFERROR(__xludf.DUMMYFUNCTION("""COMPUTED_VALUE"""),51.0)</f>
        <v>51</v>
      </c>
      <c r="F558" s="1">
        <f>IFERROR(__xludf.DUMMYFUNCTION("""COMPUTED_VALUE"""),19327.0)</f>
        <v>19327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IFERROR(__xludf.DUMMYFUNCTION("""COMPUTED_VALUE"""),50.56)</f>
        <v>50.56</v>
      </c>
      <c r="C559" s="1">
        <f>IFERROR(__xludf.DUMMYFUNCTION("""COMPUTED_VALUE"""),51.0)</f>
        <v>51</v>
      </c>
      <c r="D559" s="1">
        <f>IFERROR(__xludf.DUMMYFUNCTION("""COMPUTED_VALUE"""),50.44)</f>
        <v>50.44</v>
      </c>
      <c r="E559" s="1">
        <f>IFERROR(__xludf.DUMMYFUNCTION("""COMPUTED_VALUE"""),50.71)</f>
        <v>50.71</v>
      </c>
      <c r="F559" s="1">
        <f>IFERROR(__xludf.DUMMYFUNCTION("""COMPUTED_VALUE"""),16814.0)</f>
        <v>16814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IFERROR(__xludf.DUMMYFUNCTION("""COMPUTED_VALUE"""),50.84)</f>
        <v>50.84</v>
      </c>
      <c r="C560" s="1">
        <f>IFERROR(__xludf.DUMMYFUNCTION("""COMPUTED_VALUE"""),51.79)</f>
        <v>51.79</v>
      </c>
      <c r="D560" s="1">
        <f>IFERROR(__xludf.DUMMYFUNCTION("""COMPUTED_VALUE"""),50.8)</f>
        <v>50.8</v>
      </c>
      <c r="E560" s="1">
        <f>IFERROR(__xludf.DUMMYFUNCTION("""COMPUTED_VALUE"""),50.88)</f>
        <v>50.88</v>
      </c>
      <c r="F560" s="1">
        <f>IFERROR(__xludf.DUMMYFUNCTION("""COMPUTED_VALUE"""),25398.0)</f>
        <v>25398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IFERROR(__xludf.DUMMYFUNCTION("""COMPUTED_VALUE"""),50.37)</f>
        <v>50.37</v>
      </c>
      <c r="C561" s="1">
        <f>IFERROR(__xludf.DUMMYFUNCTION("""COMPUTED_VALUE"""),50.66)</f>
        <v>50.66</v>
      </c>
      <c r="D561" s="1">
        <f>IFERROR(__xludf.DUMMYFUNCTION("""COMPUTED_VALUE"""),50.08)</f>
        <v>50.08</v>
      </c>
      <c r="E561" s="1">
        <f>IFERROR(__xludf.DUMMYFUNCTION("""COMPUTED_VALUE"""),50.56)</f>
        <v>50.56</v>
      </c>
      <c r="F561" s="1">
        <f>IFERROR(__xludf.DUMMYFUNCTION("""COMPUTED_VALUE"""),40563.0)</f>
        <v>40563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IFERROR(__xludf.DUMMYFUNCTION("""COMPUTED_VALUE"""),50.52)</f>
        <v>50.52</v>
      </c>
      <c r="C562" s="1">
        <f>IFERROR(__xludf.DUMMYFUNCTION("""COMPUTED_VALUE"""),51.43)</f>
        <v>51.43</v>
      </c>
      <c r="D562" s="1">
        <f>IFERROR(__xludf.DUMMYFUNCTION("""COMPUTED_VALUE"""),50.52)</f>
        <v>50.52</v>
      </c>
      <c r="E562" s="1">
        <f>IFERROR(__xludf.DUMMYFUNCTION("""COMPUTED_VALUE"""),51.38)</f>
        <v>51.38</v>
      </c>
      <c r="F562" s="1">
        <f>IFERROR(__xludf.DUMMYFUNCTION("""COMPUTED_VALUE"""),35908.0)</f>
        <v>35908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IFERROR(__xludf.DUMMYFUNCTION("""COMPUTED_VALUE"""),51.7)</f>
        <v>51.7</v>
      </c>
      <c r="C563" s="1">
        <f>IFERROR(__xludf.DUMMYFUNCTION("""COMPUTED_VALUE"""),52.49)</f>
        <v>52.49</v>
      </c>
      <c r="D563" s="1">
        <f>IFERROR(__xludf.DUMMYFUNCTION("""COMPUTED_VALUE"""),51.67)</f>
        <v>51.67</v>
      </c>
      <c r="E563" s="1">
        <f>IFERROR(__xludf.DUMMYFUNCTION("""COMPUTED_VALUE"""),52.24)</f>
        <v>52.24</v>
      </c>
      <c r="F563" s="1">
        <f>IFERROR(__xludf.DUMMYFUNCTION("""COMPUTED_VALUE"""),35689.0)</f>
        <v>35689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IFERROR(__xludf.DUMMYFUNCTION("""COMPUTED_VALUE"""),52.19)</f>
        <v>52.19</v>
      </c>
      <c r="C564" s="1">
        <f>IFERROR(__xludf.DUMMYFUNCTION("""COMPUTED_VALUE"""),52.79)</f>
        <v>52.79</v>
      </c>
      <c r="D564" s="1">
        <f>IFERROR(__xludf.DUMMYFUNCTION("""COMPUTED_VALUE"""),51.82)</f>
        <v>51.82</v>
      </c>
      <c r="E564" s="1">
        <f>IFERROR(__xludf.DUMMYFUNCTION("""COMPUTED_VALUE"""),52.33)</f>
        <v>52.33</v>
      </c>
      <c r="F564" s="1">
        <f>IFERROR(__xludf.DUMMYFUNCTION("""COMPUTED_VALUE"""),41128.0)</f>
        <v>41128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IFERROR(__xludf.DUMMYFUNCTION("""COMPUTED_VALUE"""),52.22)</f>
        <v>52.22</v>
      </c>
      <c r="C565" s="1">
        <f>IFERROR(__xludf.DUMMYFUNCTION("""COMPUTED_VALUE"""),52.45)</f>
        <v>52.45</v>
      </c>
      <c r="D565" s="1">
        <f>IFERROR(__xludf.DUMMYFUNCTION("""COMPUTED_VALUE"""),52.09)</f>
        <v>52.09</v>
      </c>
      <c r="E565" s="1">
        <f>IFERROR(__xludf.DUMMYFUNCTION("""COMPUTED_VALUE"""),52.26)</f>
        <v>52.26</v>
      </c>
      <c r="F565" s="1">
        <f>IFERROR(__xludf.DUMMYFUNCTION("""COMPUTED_VALUE"""),41216.0)</f>
        <v>41216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IFERROR(__xludf.DUMMYFUNCTION("""COMPUTED_VALUE"""),52.07)</f>
        <v>52.07</v>
      </c>
      <c r="C566" s="1">
        <f>IFERROR(__xludf.DUMMYFUNCTION("""COMPUTED_VALUE"""),52.45)</f>
        <v>52.45</v>
      </c>
      <c r="D566" s="1">
        <f>IFERROR(__xludf.DUMMYFUNCTION("""COMPUTED_VALUE"""),52.07)</f>
        <v>52.07</v>
      </c>
      <c r="E566" s="1">
        <f>IFERROR(__xludf.DUMMYFUNCTION("""COMPUTED_VALUE"""),52.34)</f>
        <v>52.34</v>
      </c>
      <c r="F566" s="1">
        <f>IFERROR(__xludf.DUMMYFUNCTION("""COMPUTED_VALUE"""),32640.0)</f>
        <v>32640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IFERROR(__xludf.DUMMYFUNCTION("""COMPUTED_VALUE"""),52.76)</f>
        <v>52.76</v>
      </c>
      <c r="C567" s="1">
        <f>IFERROR(__xludf.DUMMYFUNCTION("""COMPUTED_VALUE"""),52.76)</f>
        <v>52.76</v>
      </c>
      <c r="D567" s="1">
        <f>IFERROR(__xludf.DUMMYFUNCTION("""COMPUTED_VALUE"""),52.0)</f>
        <v>52</v>
      </c>
      <c r="E567" s="1">
        <f>IFERROR(__xludf.DUMMYFUNCTION("""COMPUTED_VALUE"""),52.46)</f>
        <v>52.46</v>
      </c>
      <c r="F567" s="1">
        <f>IFERROR(__xludf.DUMMYFUNCTION("""COMPUTED_VALUE"""),52203.0)</f>
        <v>52203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IFERROR(__xludf.DUMMYFUNCTION("""COMPUTED_VALUE"""),52.13)</f>
        <v>52.13</v>
      </c>
      <c r="C568" s="1">
        <f>IFERROR(__xludf.DUMMYFUNCTION("""COMPUTED_VALUE"""),52.74)</f>
        <v>52.74</v>
      </c>
      <c r="D568" s="1">
        <f>IFERROR(__xludf.DUMMYFUNCTION("""COMPUTED_VALUE"""),52.13)</f>
        <v>52.13</v>
      </c>
      <c r="E568" s="1">
        <f>IFERROR(__xludf.DUMMYFUNCTION("""COMPUTED_VALUE"""),52.73)</f>
        <v>52.73</v>
      </c>
      <c r="F568" s="1">
        <f>IFERROR(__xludf.DUMMYFUNCTION("""COMPUTED_VALUE"""),56912.0)</f>
        <v>56912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IFERROR(__xludf.DUMMYFUNCTION("""COMPUTED_VALUE"""),52.56)</f>
        <v>52.56</v>
      </c>
      <c r="C569" s="1">
        <f>IFERROR(__xludf.DUMMYFUNCTION("""COMPUTED_VALUE"""),52.76)</f>
        <v>52.76</v>
      </c>
      <c r="D569" s="1">
        <f>IFERROR(__xludf.DUMMYFUNCTION("""COMPUTED_VALUE"""),51.85)</f>
        <v>51.85</v>
      </c>
      <c r="E569" s="1">
        <f>IFERROR(__xludf.DUMMYFUNCTION("""COMPUTED_VALUE"""),52.28)</f>
        <v>52.28</v>
      </c>
      <c r="F569" s="1">
        <f>IFERROR(__xludf.DUMMYFUNCTION("""COMPUTED_VALUE"""),37696.0)</f>
        <v>37696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IFERROR(__xludf.DUMMYFUNCTION("""COMPUTED_VALUE"""),51.58)</f>
        <v>51.58</v>
      </c>
      <c r="C570" s="1">
        <f>IFERROR(__xludf.DUMMYFUNCTION("""COMPUTED_VALUE"""),51.9)</f>
        <v>51.9</v>
      </c>
      <c r="D570" s="1">
        <f>IFERROR(__xludf.DUMMYFUNCTION("""COMPUTED_VALUE"""),51.48)</f>
        <v>51.48</v>
      </c>
      <c r="E570" s="1">
        <f>IFERROR(__xludf.DUMMYFUNCTION("""COMPUTED_VALUE"""),51.53)</f>
        <v>51.53</v>
      </c>
      <c r="F570" s="1">
        <f>IFERROR(__xludf.DUMMYFUNCTION("""COMPUTED_VALUE"""),24819.0)</f>
        <v>24819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IFERROR(__xludf.DUMMYFUNCTION("""COMPUTED_VALUE"""),51.46)</f>
        <v>51.46</v>
      </c>
      <c r="C571" s="1">
        <f>IFERROR(__xludf.DUMMYFUNCTION("""COMPUTED_VALUE"""),51.8)</f>
        <v>51.8</v>
      </c>
      <c r="D571" s="1">
        <f>IFERROR(__xludf.DUMMYFUNCTION("""COMPUTED_VALUE"""),51.11)</f>
        <v>51.11</v>
      </c>
      <c r="E571" s="1">
        <f>IFERROR(__xludf.DUMMYFUNCTION("""COMPUTED_VALUE"""),51.75)</f>
        <v>51.75</v>
      </c>
      <c r="F571" s="1">
        <f>IFERROR(__xludf.DUMMYFUNCTION("""COMPUTED_VALUE"""),26680.0)</f>
        <v>26680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IFERROR(__xludf.DUMMYFUNCTION("""COMPUTED_VALUE"""),50.75)</f>
        <v>50.75</v>
      </c>
      <c r="C572" s="1">
        <f>IFERROR(__xludf.DUMMYFUNCTION("""COMPUTED_VALUE"""),51.15)</f>
        <v>51.15</v>
      </c>
      <c r="D572" s="1">
        <f>IFERROR(__xludf.DUMMYFUNCTION("""COMPUTED_VALUE"""),49.89)</f>
        <v>49.89</v>
      </c>
      <c r="E572" s="1">
        <f>IFERROR(__xludf.DUMMYFUNCTION("""COMPUTED_VALUE"""),50.13)</f>
        <v>50.13</v>
      </c>
      <c r="F572" s="1">
        <f>IFERROR(__xludf.DUMMYFUNCTION("""COMPUTED_VALUE"""),43330.0)</f>
        <v>43330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IFERROR(__xludf.DUMMYFUNCTION("""COMPUTED_VALUE"""),49.94)</f>
        <v>49.94</v>
      </c>
      <c r="C573" s="1">
        <f>IFERROR(__xludf.DUMMYFUNCTION("""COMPUTED_VALUE"""),50.08)</f>
        <v>50.08</v>
      </c>
      <c r="D573" s="1">
        <f>IFERROR(__xludf.DUMMYFUNCTION("""COMPUTED_VALUE"""),49.16)</f>
        <v>49.16</v>
      </c>
      <c r="E573" s="1">
        <f>IFERROR(__xludf.DUMMYFUNCTION("""COMPUTED_VALUE"""),49.66)</f>
        <v>49.66</v>
      </c>
      <c r="F573" s="1">
        <f>IFERROR(__xludf.DUMMYFUNCTION("""COMPUTED_VALUE"""),46958.0)</f>
        <v>46958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IFERROR(__xludf.DUMMYFUNCTION("""COMPUTED_VALUE"""),50.13)</f>
        <v>50.13</v>
      </c>
      <c r="C574" s="1">
        <f>IFERROR(__xludf.DUMMYFUNCTION("""COMPUTED_VALUE"""),50.13)</f>
        <v>50.13</v>
      </c>
      <c r="D574" s="1">
        <f>IFERROR(__xludf.DUMMYFUNCTION("""COMPUTED_VALUE"""),49.41)</f>
        <v>49.41</v>
      </c>
      <c r="E574" s="1">
        <f>IFERROR(__xludf.DUMMYFUNCTION("""COMPUTED_VALUE"""),50.13)</f>
        <v>50.13</v>
      </c>
      <c r="F574" s="1">
        <f>IFERROR(__xludf.DUMMYFUNCTION("""COMPUTED_VALUE"""),37983.0)</f>
        <v>37983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IFERROR(__xludf.DUMMYFUNCTION("""COMPUTED_VALUE"""),50.09)</f>
        <v>50.09</v>
      </c>
      <c r="C575" s="1">
        <f>IFERROR(__xludf.DUMMYFUNCTION("""COMPUTED_VALUE"""),50.71)</f>
        <v>50.71</v>
      </c>
      <c r="D575" s="1">
        <f>IFERROR(__xludf.DUMMYFUNCTION("""COMPUTED_VALUE"""),49.96)</f>
        <v>49.96</v>
      </c>
      <c r="E575" s="1">
        <f>IFERROR(__xludf.DUMMYFUNCTION("""COMPUTED_VALUE"""),50.47)</f>
        <v>50.47</v>
      </c>
      <c r="F575" s="1">
        <f>IFERROR(__xludf.DUMMYFUNCTION("""COMPUTED_VALUE"""),40290.0)</f>
        <v>40290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IFERROR(__xludf.DUMMYFUNCTION("""COMPUTED_VALUE"""),50.34)</f>
        <v>50.34</v>
      </c>
      <c r="C576" s="1">
        <f>IFERROR(__xludf.DUMMYFUNCTION("""COMPUTED_VALUE"""),50.58)</f>
        <v>50.58</v>
      </c>
      <c r="D576" s="1">
        <f>IFERROR(__xludf.DUMMYFUNCTION("""COMPUTED_VALUE"""),49.91)</f>
        <v>49.91</v>
      </c>
      <c r="E576" s="1">
        <f>IFERROR(__xludf.DUMMYFUNCTION("""COMPUTED_VALUE"""),50.21)</f>
        <v>50.21</v>
      </c>
      <c r="F576" s="1">
        <f>IFERROR(__xludf.DUMMYFUNCTION("""COMPUTED_VALUE"""),30263.0)</f>
        <v>30263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IFERROR(__xludf.DUMMYFUNCTION("""COMPUTED_VALUE"""),50.29)</f>
        <v>50.29</v>
      </c>
      <c r="C577" s="1">
        <f>IFERROR(__xludf.DUMMYFUNCTION("""COMPUTED_VALUE"""),51.15)</f>
        <v>51.15</v>
      </c>
      <c r="D577" s="1">
        <f>IFERROR(__xludf.DUMMYFUNCTION("""COMPUTED_VALUE"""),49.88)</f>
        <v>49.88</v>
      </c>
      <c r="E577" s="1">
        <f>IFERROR(__xludf.DUMMYFUNCTION("""COMPUTED_VALUE"""),50.52)</f>
        <v>50.52</v>
      </c>
      <c r="F577" s="1">
        <f>IFERROR(__xludf.DUMMYFUNCTION("""COMPUTED_VALUE"""),27394.0)</f>
        <v>27394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IFERROR(__xludf.DUMMYFUNCTION("""COMPUTED_VALUE"""),50.92)</f>
        <v>50.92</v>
      </c>
      <c r="C578" s="1">
        <f>IFERROR(__xludf.DUMMYFUNCTION("""COMPUTED_VALUE"""),51.99)</f>
        <v>51.99</v>
      </c>
      <c r="D578" s="1">
        <f>IFERROR(__xludf.DUMMYFUNCTION("""COMPUTED_VALUE"""),50.92)</f>
        <v>50.92</v>
      </c>
      <c r="E578" s="1">
        <f>IFERROR(__xludf.DUMMYFUNCTION("""COMPUTED_VALUE"""),51.32)</f>
        <v>51.32</v>
      </c>
      <c r="F578" s="1">
        <f>IFERROR(__xludf.DUMMYFUNCTION("""COMPUTED_VALUE"""),48562.0)</f>
        <v>48562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IFERROR(__xludf.DUMMYFUNCTION("""COMPUTED_VALUE"""),50.99)</f>
        <v>50.99</v>
      </c>
      <c r="C579" s="1">
        <f>IFERROR(__xludf.DUMMYFUNCTION("""COMPUTED_VALUE"""),51.42)</f>
        <v>51.42</v>
      </c>
      <c r="D579" s="1">
        <f>IFERROR(__xludf.DUMMYFUNCTION("""COMPUTED_VALUE"""),50.25)</f>
        <v>50.25</v>
      </c>
      <c r="E579" s="1">
        <f>IFERROR(__xludf.DUMMYFUNCTION("""COMPUTED_VALUE"""),51.14)</f>
        <v>51.14</v>
      </c>
      <c r="F579" s="1">
        <f>IFERROR(__xludf.DUMMYFUNCTION("""COMPUTED_VALUE"""),33092.0)</f>
        <v>33092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IFERROR(__xludf.DUMMYFUNCTION("""COMPUTED_VALUE"""),51.03)</f>
        <v>51.03</v>
      </c>
      <c r="C580" s="1">
        <f>IFERROR(__xludf.DUMMYFUNCTION("""COMPUTED_VALUE"""),51.46)</f>
        <v>51.46</v>
      </c>
      <c r="D580" s="1">
        <f>IFERROR(__xludf.DUMMYFUNCTION("""COMPUTED_VALUE"""),49.97)</f>
        <v>49.97</v>
      </c>
      <c r="E580" s="1">
        <f>IFERROR(__xludf.DUMMYFUNCTION("""COMPUTED_VALUE"""),50.36)</f>
        <v>50.36</v>
      </c>
      <c r="F580" s="1">
        <f>IFERROR(__xludf.DUMMYFUNCTION("""COMPUTED_VALUE"""),37164.0)</f>
        <v>37164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IFERROR(__xludf.DUMMYFUNCTION("""COMPUTED_VALUE"""),51.6)</f>
        <v>51.6</v>
      </c>
      <c r="C581" s="1">
        <f>IFERROR(__xludf.DUMMYFUNCTION("""COMPUTED_VALUE"""),51.6)</f>
        <v>51.6</v>
      </c>
      <c r="D581" s="1">
        <f>IFERROR(__xludf.DUMMYFUNCTION("""COMPUTED_VALUE"""),50.25)</f>
        <v>50.25</v>
      </c>
      <c r="E581" s="1">
        <f>IFERROR(__xludf.DUMMYFUNCTION("""COMPUTED_VALUE"""),50.46)</f>
        <v>50.46</v>
      </c>
      <c r="F581" s="1">
        <f>IFERROR(__xludf.DUMMYFUNCTION("""COMPUTED_VALUE"""),51931.0)</f>
        <v>51931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IFERROR(__xludf.DUMMYFUNCTION("""COMPUTED_VALUE"""),49.57)</f>
        <v>49.57</v>
      </c>
      <c r="C582" s="1">
        <f>IFERROR(__xludf.DUMMYFUNCTION("""COMPUTED_VALUE"""),50.23)</f>
        <v>50.23</v>
      </c>
      <c r="D582" s="1">
        <f>IFERROR(__xludf.DUMMYFUNCTION("""COMPUTED_VALUE"""),48.57)</f>
        <v>48.57</v>
      </c>
      <c r="E582" s="1">
        <f>IFERROR(__xludf.DUMMYFUNCTION("""COMPUTED_VALUE"""),48.95)</f>
        <v>48.95</v>
      </c>
      <c r="F582" s="1">
        <f>IFERROR(__xludf.DUMMYFUNCTION("""COMPUTED_VALUE"""),60385.0)</f>
        <v>60385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IFERROR(__xludf.DUMMYFUNCTION("""COMPUTED_VALUE"""),53.63)</f>
        <v>53.63</v>
      </c>
      <c r="C583" s="1">
        <f>IFERROR(__xludf.DUMMYFUNCTION("""COMPUTED_VALUE"""),57.64)</f>
        <v>57.64</v>
      </c>
      <c r="D583" s="1">
        <f>IFERROR(__xludf.DUMMYFUNCTION("""COMPUTED_VALUE"""),51.33)</f>
        <v>51.33</v>
      </c>
      <c r="E583" s="1">
        <f>IFERROR(__xludf.DUMMYFUNCTION("""COMPUTED_VALUE"""),55.68)</f>
        <v>55.68</v>
      </c>
      <c r="F583" s="1">
        <f>IFERROR(__xludf.DUMMYFUNCTION("""COMPUTED_VALUE"""),230364.0)</f>
        <v>230364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IFERROR(__xludf.DUMMYFUNCTION("""COMPUTED_VALUE"""),56.03)</f>
        <v>56.03</v>
      </c>
      <c r="C584" s="1">
        <f>IFERROR(__xludf.DUMMYFUNCTION("""COMPUTED_VALUE"""),56.82)</f>
        <v>56.82</v>
      </c>
      <c r="D584" s="1">
        <f>IFERROR(__xludf.DUMMYFUNCTION("""COMPUTED_VALUE"""),55.0)</f>
        <v>55</v>
      </c>
      <c r="E584" s="1">
        <f>IFERROR(__xludf.DUMMYFUNCTION("""COMPUTED_VALUE"""),55.46)</f>
        <v>55.46</v>
      </c>
      <c r="F584" s="1">
        <f>IFERROR(__xludf.DUMMYFUNCTION("""COMPUTED_VALUE"""),117825.0)</f>
        <v>117825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IFERROR(__xludf.DUMMYFUNCTION("""COMPUTED_VALUE"""),55.09)</f>
        <v>55.09</v>
      </c>
      <c r="C585" s="1">
        <f>IFERROR(__xludf.DUMMYFUNCTION("""COMPUTED_VALUE"""),56.64)</f>
        <v>56.64</v>
      </c>
      <c r="D585" s="1">
        <f>IFERROR(__xludf.DUMMYFUNCTION("""COMPUTED_VALUE"""),55.09)</f>
        <v>55.09</v>
      </c>
      <c r="E585" s="1">
        <f>IFERROR(__xludf.DUMMYFUNCTION("""COMPUTED_VALUE"""),56.21)</f>
        <v>56.21</v>
      </c>
      <c r="F585" s="1">
        <f>IFERROR(__xludf.DUMMYFUNCTION("""COMPUTED_VALUE"""),60860.0)</f>
        <v>60860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IFERROR(__xludf.DUMMYFUNCTION("""COMPUTED_VALUE"""),56.18)</f>
        <v>56.18</v>
      </c>
      <c r="C586" s="1">
        <f>IFERROR(__xludf.DUMMYFUNCTION("""COMPUTED_VALUE"""),56.88)</f>
        <v>56.88</v>
      </c>
      <c r="D586" s="1">
        <f>IFERROR(__xludf.DUMMYFUNCTION("""COMPUTED_VALUE"""),55.81)</f>
        <v>55.81</v>
      </c>
      <c r="E586" s="1">
        <f>IFERROR(__xludf.DUMMYFUNCTION("""COMPUTED_VALUE"""),56.33)</f>
        <v>56.33</v>
      </c>
      <c r="F586" s="1">
        <f>IFERROR(__xludf.DUMMYFUNCTION("""COMPUTED_VALUE"""),52217.0)</f>
        <v>52217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IFERROR(__xludf.DUMMYFUNCTION("""COMPUTED_VALUE"""),56.11)</f>
        <v>56.11</v>
      </c>
      <c r="C587" s="1">
        <f>IFERROR(__xludf.DUMMYFUNCTION("""COMPUTED_VALUE"""),56.63)</f>
        <v>56.63</v>
      </c>
      <c r="D587" s="1">
        <f>IFERROR(__xludf.DUMMYFUNCTION("""COMPUTED_VALUE"""),55.31)</f>
        <v>55.31</v>
      </c>
      <c r="E587" s="1">
        <f>IFERROR(__xludf.DUMMYFUNCTION("""COMPUTED_VALUE"""),56.06)</f>
        <v>56.06</v>
      </c>
      <c r="F587" s="1">
        <f>IFERROR(__xludf.DUMMYFUNCTION("""COMPUTED_VALUE"""),28493.0)</f>
        <v>28493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IFERROR(__xludf.DUMMYFUNCTION("""COMPUTED_VALUE"""),56.06)</f>
        <v>56.06</v>
      </c>
      <c r="C588" s="1">
        <f>IFERROR(__xludf.DUMMYFUNCTION("""COMPUTED_VALUE"""),56.58)</f>
        <v>56.58</v>
      </c>
      <c r="D588" s="1">
        <f>IFERROR(__xludf.DUMMYFUNCTION("""COMPUTED_VALUE"""),55.15)</f>
        <v>55.15</v>
      </c>
      <c r="E588" s="1">
        <f>IFERROR(__xludf.DUMMYFUNCTION("""COMPUTED_VALUE"""),55.36)</f>
        <v>55.36</v>
      </c>
      <c r="F588" s="1">
        <f>IFERROR(__xludf.DUMMYFUNCTION("""COMPUTED_VALUE"""),47672.0)</f>
        <v>47672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IFERROR(__xludf.DUMMYFUNCTION("""COMPUTED_VALUE"""),55.15)</f>
        <v>55.15</v>
      </c>
      <c r="C589" s="1">
        <f>IFERROR(__xludf.DUMMYFUNCTION("""COMPUTED_VALUE"""),55.4)</f>
        <v>55.4</v>
      </c>
      <c r="D589" s="1">
        <f>IFERROR(__xludf.DUMMYFUNCTION("""COMPUTED_VALUE"""),54.45)</f>
        <v>54.45</v>
      </c>
      <c r="E589" s="1">
        <f>IFERROR(__xludf.DUMMYFUNCTION("""COMPUTED_VALUE"""),55.36)</f>
        <v>55.36</v>
      </c>
      <c r="F589" s="1">
        <f>IFERROR(__xludf.DUMMYFUNCTION("""COMPUTED_VALUE"""),33777.0)</f>
        <v>33777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IFERROR(__xludf.DUMMYFUNCTION("""COMPUTED_VALUE"""),55.3)</f>
        <v>55.3</v>
      </c>
      <c r="C590" s="1">
        <f>IFERROR(__xludf.DUMMYFUNCTION("""COMPUTED_VALUE"""),55.3)</f>
        <v>55.3</v>
      </c>
      <c r="D590" s="1">
        <f>IFERROR(__xludf.DUMMYFUNCTION("""COMPUTED_VALUE"""),53.98)</f>
        <v>53.98</v>
      </c>
      <c r="E590" s="1">
        <f>IFERROR(__xludf.DUMMYFUNCTION("""COMPUTED_VALUE"""),54.4)</f>
        <v>54.4</v>
      </c>
      <c r="F590" s="1">
        <f>IFERROR(__xludf.DUMMYFUNCTION("""COMPUTED_VALUE"""),38431.0)</f>
        <v>38431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IFERROR(__xludf.DUMMYFUNCTION("""COMPUTED_VALUE"""),54.17)</f>
        <v>54.17</v>
      </c>
      <c r="C591" s="1">
        <f>IFERROR(__xludf.DUMMYFUNCTION("""COMPUTED_VALUE"""),54.59)</f>
        <v>54.59</v>
      </c>
      <c r="D591" s="1">
        <f>IFERROR(__xludf.DUMMYFUNCTION("""COMPUTED_VALUE"""),53.33)</f>
        <v>53.33</v>
      </c>
      <c r="E591" s="1">
        <f>IFERROR(__xludf.DUMMYFUNCTION("""COMPUTED_VALUE"""),53.51)</f>
        <v>53.51</v>
      </c>
      <c r="F591" s="1">
        <f>IFERROR(__xludf.DUMMYFUNCTION("""COMPUTED_VALUE"""),36504.0)</f>
        <v>36504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IFERROR(__xludf.DUMMYFUNCTION("""COMPUTED_VALUE"""),53.49)</f>
        <v>53.49</v>
      </c>
      <c r="C592" s="1">
        <f>IFERROR(__xludf.DUMMYFUNCTION("""COMPUTED_VALUE"""),54.24)</f>
        <v>54.24</v>
      </c>
      <c r="D592" s="1">
        <f>IFERROR(__xludf.DUMMYFUNCTION("""COMPUTED_VALUE"""),53.37)</f>
        <v>53.37</v>
      </c>
      <c r="E592" s="1">
        <f>IFERROR(__xludf.DUMMYFUNCTION("""COMPUTED_VALUE"""),54.07)</f>
        <v>54.07</v>
      </c>
      <c r="F592" s="1">
        <f>IFERROR(__xludf.DUMMYFUNCTION("""COMPUTED_VALUE"""),18934.0)</f>
        <v>18934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IFERROR(__xludf.DUMMYFUNCTION("""COMPUTED_VALUE"""),53.87)</f>
        <v>53.87</v>
      </c>
      <c r="C593" s="1">
        <f>IFERROR(__xludf.DUMMYFUNCTION("""COMPUTED_VALUE"""),55.16)</f>
        <v>55.16</v>
      </c>
      <c r="D593" s="1">
        <f>IFERROR(__xludf.DUMMYFUNCTION("""COMPUTED_VALUE"""),53.66)</f>
        <v>53.66</v>
      </c>
      <c r="E593" s="1">
        <f>IFERROR(__xludf.DUMMYFUNCTION("""COMPUTED_VALUE"""),55.12)</f>
        <v>55.12</v>
      </c>
      <c r="F593" s="1">
        <f>IFERROR(__xludf.DUMMYFUNCTION("""COMPUTED_VALUE"""),41240.0)</f>
        <v>41240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IFERROR(__xludf.DUMMYFUNCTION("""COMPUTED_VALUE"""),54.33)</f>
        <v>54.33</v>
      </c>
      <c r="C594" s="1">
        <f>IFERROR(__xludf.DUMMYFUNCTION("""COMPUTED_VALUE"""),54.9)</f>
        <v>54.9</v>
      </c>
      <c r="D594" s="1">
        <f>IFERROR(__xludf.DUMMYFUNCTION("""COMPUTED_VALUE"""),53.94)</f>
        <v>53.94</v>
      </c>
      <c r="E594" s="1">
        <f>IFERROR(__xludf.DUMMYFUNCTION("""COMPUTED_VALUE"""),54.66)</f>
        <v>54.66</v>
      </c>
      <c r="F594" s="1">
        <f>IFERROR(__xludf.DUMMYFUNCTION("""COMPUTED_VALUE"""),42382.0)</f>
        <v>42382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IFERROR(__xludf.DUMMYFUNCTION("""COMPUTED_VALUE"""),54.99)</f>
        <v>54.99</v>
      </c>
      <c r="C595" s="1">
        <f>IFERROR(__xludf.DUMMYFUNCTION("""COMPUTED_VALUE"""),55.94)</f>
        <v>55.94</v>
      </c>
      <c r="D595" s="1">
        <f>IFERROR(__xludf.DUMMYFUNCTION("""COMPUTED_VALUE"""),54.39)</f>
        <v>54.39</v>
      </c>
      <c r="E595" s="1">
        <f>IFERROR(__xludf.DUMMYFUNCTION("""COMPUTED_VALUE"""),55.93)</f>
        <v>55.93</v>
      </c>
      <c r="F595" s="1">
        <f>IFERROR(__xludf.DUMMYFUNCTION("""COMPUTED_VALUE"""),43528.0)</f>
        <v>43528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IFERROR(__xludf.DUMMYFUNCTION("""COMPUTED_VALUE"""),55.9)</f>
        <v>55.9</v>
      </c>
      <c r="C596" s="1">
        <f>IFERROR(__xludf.DUMMYFUNCTION("""COMPUTED_VALUE"""),56.0)</f>
        <v>56</v>
      </c>
      <c r="D596" s="1">
        <f>IFERROR(__xludf.DUMMYFUNCTION("""COMPUTED_VALUE"""),55.14)</f>
        <v>55.14</v>
      </c>
      <c r="E596" s="1">
        <f>IFERROR(__xludf.DUMMYFUNCTION("""COMPUTED_VALUE"""),56.0)</f>
        <v>56</v>
      </c>
      <c r="F596" s="1">
        <f>IFERROR(__xludf.DUMMYFUNCTION("""COMPUTED_VALUE"""),42018.0)</f>
        <v>42018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IFERROR(__xludf.DUMMYFUNCTION("""COMPUTED_VALUE"""),55.28)</f>
        <v>55.28</v>
      </c>
      <c r="C597" s="1">
        <f>IFERROR(__xludf.DUMMYFUNCTION("""COMPUTED_VALUE"""),55.51)</f>
        <v>55.51</v>
      </c>
      <c r="D597" s="1">
        <f>IFERROR(__xludf.DUMMYFUNCTION("""COMPUTED_VALUE"""),54.59)</f>
        <v>54.59</v>
      </c>
      <c r="E597" s="1">
        <f>IFERROR(__xludf.DUMMYFUNCTION("""COMPUTED_VALUE"""),54.79)</f>
        <v>54.79</v>
      </c>
      <c r="F597" s="1">
        <f>IFERROR(__xludf.DUMMYFUNCTION("""COMPUTED_VALUE"""),68610.0)</f>
        <v>68610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IFERROR(__xludf.DUMMYFUNCTION("""COMPUTED_VALUE"""),54.62)</f>
        <v>54.62</v>
      </c>
      <c r="C598" s="1">
        <f>IFERROR(__xludf.DUMMYFUNCTION("""COMPUTED_VALUE"""),55.16)</f>
        <v>55.16</v>
      </c>
      <c r="D598" s="1">
        <f>IFERROR(__xludf.DUMMYFUNCTION("""COMPUTED_VALUE"""),54.19)</f>
        <v>54.19</v>
      </c>
      <c r="E598" s="1">
        <f>IFERROR(__xludf.DUMMYFUNCTION("""COMPUTED_VALUE"""),54.5)</f>
        <v>54.5</v>
      </c>
      <c r="F598" s="1">
        <f>IFERROR(__xludf.DUMMYFUNCTION("""COMPUTED_VALUE"""),48371.0)</f>
        <v>48371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IFERROR(__xludf.DUMMYFUNCTION("""COMPUTED_VALUE"""),54.36)</f>
        <v>54.36</v>
      </c>
      <c r="C599" s="1">
        <f>IFERROR(__xludf.DUMMYFUNCTION("""COMPUTED_VALUE"""),55.21)</f>
        <v>55.21</v>
      </c>
      <c r="D599" s="1">
        <f>IFERROR(__xludf.DUMMYFUNCTION("""COMPUTED_VALUE"""),54.24)</f>
        <v>54.24</v>
      </c>
      <c r="E599" s="1">
        <f>IFERROR(__xludf.DUMMYFUNCTION("""COMPUTED_VALUE"""),54.71)</f>
        <v>54.71</v>
      </c>
      <c r="F599" s="1">
        <f>IFERROR(__xludf.DUMMYFUNCTION("""COMPUTED_VALUE"""),41258.0)</f>
        <v>41258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IFERROR(__xludf.DUMMYFUNCTION("""COMPUTED_VALUE"""),54.61)</f>
        <v>54.61</v>
      </c>
      <c r="C600" s="1">
        <f>IFERROR(__xludf.DUMMYFUNCTION("""COMPUTED_VALUE"""),55.12)</f>
        <v>55.12</v>
      </c>
      <c r="D600" s="1">
        <f>IFERROR(__xludf.DUMMYFUNCTION("""COMPUTED_VALUE"""),54.04)</f>
        <v>54.04</v>
      </c>
      <c r="E600" s="1">
        <f>IFERROR(__xludf.DUMMYFUNCTION("""COMPUTED_VALUE"""),54.27)</f>
        <v>54.27</v>
      </c>
      <c r="F600" s="1">
        <f>IFERROR(__xludf.DUMMYFUNCTION("""COMPUTED_VALUE"""),40752.0)</f>
        <v>40752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IFERROR(__xludf.DUMMYFUNCTION("""COMPUTED_VALUE"""),54.09)</f>
        <v>54.09</v>
      </c>
      <c r="C601" s="1">
        <f>IFERROR(__xludf.DUMMYFUNCTION("""COMPUTED_VALUE"""),54.44)</f>
        <v>54.44</v>
      </c>
      <c r="D601" s="1">
        <f>IFERROR(__xludf.DUMMYFUNCTION("""COMPUTED_VALUE"""),53.43)</f>
        <v>53.43</v>
      </c>
      <c r="E601" s="1">
        <f>IFERROR(__xludf.DUMMYFUNCTION("""COMPUTED_VALUE"""),53.67)</f>
        <v>53.67</v>
      </c>
      <c r="F601" s="1">
        <f>IFERROR(__xludf.DUMMYFUNCTION("""COMPUTED_VALUE"""),50164.0)</f>
        <v>50164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IFERROR(__xludf.DUMMYFUNCTION("""COMPUTED_VALUE"""),54.04)</f>
        <v>54.04</v>
      </c>
      <c r="C602" s="1">
        <f>IFERROR(__xludf.DUMMYFUNCTION("""COMPUTED_VALUE"""),54.76)</f>
        <v>54.76</v>
      </c>
      <c r="D602" s="1">
        <f>IFERROR(__xludf.DUMMYFUNCTION("""COMPUTED_VALUE"""),53.77)</f>
        <v>53.77</v>
      </c>
      <c r="E602" s="1">
        <f>IFERROR(__xludf.DUMMYFUNCTION("""COMPUTED_VALUE"""),54.62)</f>
        <v>54.62</v>
      </c>
      <c r="F602" s="1">
        <f>IFERROR(__xludf.DUMMYFUNCTION("""COMPUTED_VALUE"""),46296.0)</f>
        <v>46296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IFERROR(__xludf.DUMMYFUNCTION("""COMPUTED_VALUE"""),54.37)</f>
        <v>54.37</v>
      </c>
      <c r="C603" s="1">
        <f>IFERROR(__xludf.DUMMYFUNCTION("""COMPUTED_VALUE"""),55.02)</f>
        <v>55.02</v>
      </c>
      <c r="D603" s="1">
        <f>IFERROR(__xludf.DUMMYFUNCTION("""COMPUTED_VALUE"""),54.34)</f>
        <v>54.34</v>
      </c>
      <c r="E603" s="1">
        <f>IFERROR(__xludf.DUMMYFUNCTION("""COMPUTED_VALUE"""),54.66)</f>
        <v>54.66</v>
      </c>
      <c r="F603" s="1">
        <f>IFERROR(__xludf.DUMMYFUNCTION("""COMPUTED_VALUE"""),34663.0)</f>
        <v>34663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IFERROR(__xludf.DUMMYFUNCTION("""COMPUTED_VALUE"""),54.07)</f>
        <v>54.07</v>
      </c>
      <c r="C604" s="1">
        <f>IFERROR(__xludf.DUMMYFUNCTION("""COMPUTED_VALUE"""),54.98)</f>
        <v>54.98</v>
      </c>
      <c r="D604" s="1">
        <f>IFERROR(__xludf.DUMMYFUNCTION("""COMPUTED_VALUE"""),54.07)</f>
        <v>54.07</v>
      </c>
      <c r="E604" s="1">
        <f>IFERROR(__xludf.DUMMYFUNCTION("""COMPUTED_VALUE"""),54.84)</f>
        <v>54.84</v>
      </c>
      <c r="F604" s="1">
        <f>IFERROR(__xludf.DUMMYFUNCTION("""COMPUTED_VALUE"""),29175.0)</f>
        <v>29175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IFERROR(__xludf.DUMMYFUNCTION("""COMPUTED_VALUE"""),55.07)</f>
        <v>55.07</v>
      </c>
      <c r="C605" s="1">
        <f>IFERROR(__xludf.DUMMYFUNCTION("""COMPUTED_VALUE"""),55.23)</f>
        <v>55.23</v>
      </c>
      <c r="D605" s="1">
        <f>IFERROR(__xludf.DUMMYFUNCTION("""COMPUTED_VALUE"""),54.62)</f>
        <v>54.62</v>
      </c>
      <c r="E605" s="1">
        <f>IFERROR(__xludf.DUMMYFUNCTION("""COMPUTED_VALUE"""),55.15)</f>
        <v>55.15</v>
      </c>
      <c r="F605" s="1">
        <f>IFERROR(__xludf.DUMMYFUNCTION("""COMPUTED_VALUE"""),26964.0)</f>
        <v>26964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IFERROR(__xludf.DUMMYFUNCTION("""COMPUTED_VALUE"""),55.06)</f>
        <v>55.06</v>
      </c>
      <c r="C606" s="1">
        <f>IFERROR(__xludf.DUMMYFUNCTION("""COMPUTED_VALUE"""),55.39)</f>
        <v>55.39</v>
      </c>
      <c r="D606" s="1">
        <f>IFERROR(__xludf.DUMMYFUNCTION("""COMPUTED_VALUE"""),54.68)</f>
        <v>54.68</v>
      </c>
      <c r="E606" s="1">
        <f>IFERROR(__xludf.DUMMYFUNCTION("""COMPUTED_VALUE"""),54.9)</f>
        <v>54.9</v>
      </c>
      <c r="F606" s="1">
        <f>IFERROR(__xludf.DUMMYFUNCTION("""COMPUTED_VALUE"""),27295.0)</f>
        <v>27295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IFERROR(__xludf.DUMMYFUNCTION("""COMPUTED_VALUE"""),55.52)</f>
        <v>55.52</v>
      </c>
      <c r="C607" s="1">
        <f>IFERROR(__xludf.DUMMYFUNCTION("""COMPUTED_VALUE"""),55.95)</f>
        <v>55.95</v>
      </c>
      <c r="D607" s="1">
        <f>IFERROR(__xludf.DUMMYFUNCTION("""COMPUTED_VALUE"""),54.75)</f>
        <v>54.75</v>
      </c>
      <c r="E607" s="1">
        <f>IFERROR(__xludf.DUMMYFUNCTION("""COMPUTED_VALUE"""),55.78)</f>
        <v>55.78</v>
      </c>
      <c r="F607" s="1">
        <f>IFERROR(__xludf.DUMMYFUNCTION("""COMPUTED_VALUE"""),49774.0)</f>
        <v>49774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IFERROR(__xludf.DUMMYFUNCTION("""COMPUTED_VALUE"""),55.4)</f>
        <v>55.4</v>
      </c>
      <c r="C608" s="1">
        <f>IFERROR(__xludf.DUMMYFUNCTION("""COMPUTED_VALUE"""),55.77)</f>
        <v>55.77</v>
      </c>
      <c r="D608" s="1">
        <f>IFERROR(__xludf.DUMMYFUNCTION("""COMPUTED_VALUE"""),55.01)</f>
        <v>55.01</v>
      </c>
      <c r="E608" s="1">
        <f>IFERROR(__xludf.DUMMYFUNCTION("""COMPUTED_VALUE"""),55.17)</f>
        <v>55.17</v>
      </c>
      <c r="F608" s="1">
        <f>IFERROR(__xludf.DUMMYFUNCTION("""COMPUTED_VALUE"""),35927.0)</f>
        <v>35927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IFERROR(__xludf.DUMMYFUNCTION("""COMPUTED_VALUE"""),55.22)</f>
        <v>55.22</v>
      </c>
      <c r="C609" s="1">
        <f>IFERROR(__xludf.DUMMYFUNCTION("""COMPUTED_VALUE"""),55.56)</f>
        <v>55.56</v>
      </c>
      <c r="D609" s="1">
        <f>IFERROR(__xludf.DUMMYFUNCTION("""COMPUTED_VALUE"""),54.63)</f>
        <v>54.63</v>
      </c>
      <c r="E609" s="1">
        <f>IFERROR(__xludf.DUMMYFUNCTION("""COMPUTED_VALUE"""),55.07)</f>
        <v>55.07</v>
      </c>
      <c r="F609" s="1">
        <f>IFERROR(__xludf.DUMMYFUNCTION("""COMPUTED_VALUE"""),52986.0)</f>
        <v>52986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IFERROR(__xludf.DUMMYFUNCTION("""COMPUTED_VALUE"""),54.0)</f>
        <v>54</v>
      </c>
      <c r="C610" s="1">
        <f>IFERROR(__xludf.DUMMYFUNCTION("""COMPUTED_VALUE"""),54.99)</f>
        <v>54.99</v>
      </c>
      <c r="D610" s="1">
        <f>IFERROR(__xludf.DUMMYFUNCTION("""COMPUTED_VALUE"""),53.62)</f>
        <v>53.62</v>
      </c>
      <c r="E610" s="1">
        <f>IFERROR(__xludf.DUMMYFUNCTION("""COMPUTED_VALUE"""),53.9)</f>
        <v>53.9</v>
      </c>
      <c r="F610" s="1">
        <f>IFERROR(__xludf.DUMMYFUNCTION("""COMPUTED_VALUE"""),42658.0)</f>
        <v>42658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IFERROR(__xludf.DUMMYFUNCTION("""COMPUTED_VALUE"""),54.11)</f>
        <v>54.11</v>
      </c>
      <c r="C611" s="1">
        <f>IFERROR(__xludf.DUMMYFUNCTION("""COMPUTED_VALUE"""),54.44)</f>
        <v>54.44</v>
      </c>
      <c r="D611" s="1">
        <f>IFERROR(__xludf.DUMMYFUNCTION("""COMPUTED_VALUE"""),53.49)</f>
        <v>53.49</v>
      </c>
      <c r="E611" s="1">
        <f>IFERROR(__xludf.DUMMYFUNCTION("""COMPUTED_VALUE"""),54.13)</f>
        <v>54.13</v>
      </c>
      <c r="F611" s="1">
        <f>IFERROR(__xludf.DUMMYFUNCTION("""COMPUTED_VALUE"""),59659.0)</f>
        <v>59659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IFERROR(__xludf.DUMMYFUNCTION("""COMPUTED_VALUE"""),53.86)</f>
        <v>53.86</v>
      </c>
      <c r="C612" s="1">
        <f>IFERROR(__xludf.DUMMYFUNCTION("""COMPUTED_VALUE"""),54.54)</f>
        <v>54.54</v>
      </c>
      <c r="D612" s="1">
        <f>IFERROR(__xludf.DUMMYFUNCTION("""COMPUTED_VALUE"""),52.4)</f>
        <v>52.4</v>
      </c>
      <c r="E612" s="1">
        <f>IFERROR(__xludf.DUMMYFUNCTION("""COMPUTED_VALUE"""),54.22)</f>
        <v>54.22</v>
      </c>
      <c r="F612" s="1">
        <f>IFERROR(__xludf.DUMMYFUNCTION("""COMPUTED_VALUE"""),35849.0)</f>
        <v>35849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IFERROR(__xludf.DUMMYFUNCTION("""COMPUTED_VALUE"""),54.78)</f>
        <v>54.78</v>
      </c>
      <c r="C613" s="1">
        <f>IFERROR(__xludf.DUMMYFUNCTION("""COMPUTED_VALUE"""),55.72)</f>
        <v>55.72</v>
      </c>
      <c r="D613" s="1">
        <f>IFERROR(__xludf.DUMMYFUNCTION("""COMPUTED_VALUE"""),54.14)</f>
        <v>54.14</v>
      </c>
      <c r="E613" s="1">
        <f>IFERROR(__xludf.DUMMYFUNCTION("""COMPUTED_VALUE"""),55.67)</f>
        <v>55.67</v>
      </c>
      <c r="F613" s="1">
        <f>IFERROR(__xludf.DUMMYFUNCTION("""COMPUTED_VALUE"""),60650.0)</f>
        <v>60650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IFERROR(__xludf.DUMMYFUNCTION("""COMPUTED_VALUE"""),56.15)</f>
        <v>56.15</v>
      </c>
      <c r="C614" s="1">
        <f>IFERROR(__xludf.DUMMYFUNCTION("""COMPUTED_VALUE"""),56.15)</f>
        <v>56.15</v>
      </c>
      <c r="D614" s="1">
        <f>IFERROR(__xludf.DUMMYFUNCTION("""COMPUTED_VALUE"""),55.19)</f>
        <v>55.19</v>
      </c>
      <c r="E614" s="1">
        <f>IFERROR(__xludf.DUMMYFUNCTION("""COMPUTED_VALUE"""),55.58)</f>
        <v>55.58</v>
      </c>
      <c r="F614" s="1">
        <f>IFERROR(__xludf.DUMMYFUNCTION("""COMPUTED_VALUE"""),83996.0)</f>
        <v>83996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IFERROR(__xludf.DUMMYFUNCTION("""COMPUTED_VALUE"""),55.38)</f>
        <v>55.38</v>
      </c>
      <c r="C615" s="1">
        <f>IFERROR(__xludf.DUMMYFUNCTION("""COMPUTED_VALUE"""),56.76)</f>
        <v>56.76</v>
      </c>
      <c r="D615" s="1">
        <f>IFERROR(__xludf.DUMMYFUNCTION("""COMPUTED_VALUE"""),55.36)</f>
        <v>55.36</v>
      </c>
      <c r="E615" s="1">
        <f>IFERROR(__xludf.DUMMYFUNCTION("""COMPUTED_VALUE"""),56.06)</f>
        <v>56.06</v>
      </c>
      <c r="F615" s="1">
        <f>IFERROR(__xludf.DUMMYFUNCTION("""COMPUTED_VALUE"""),42328.0)</f>
        <v>42328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IFERROR(__xludf.DUMMYFUNCTION("""COMPUTED_VALUE"""),56.65)</f>
        <v>56.65</v>
      </c>
      <c r="C616" s="1">
        <f>IFERROR(__xludf.DUMMYFUNCTION("""COMPUTED_VALUE"""),56.65)</f>
        <v>56.65</v>
      </c>
      <c r="D616" s="1">
        <f>IFERROR(__xludf.DUMMYFUNCTION("""COMPUTED_VALUE"""),55.67)</f>
        <v>55.67</v>
      </c>
      <c r="E616" s="1">
        <f>IFERROR(__xludf.DUMMYFUNCTION("""COMPUTED_VALUE"""),55.71)</f>
        <v>55.71</v>
      </c>
      <c r="F616" s="1">
        <f>IFERROR(__xludf.DUMMYFUNCTION("""COMPUTED_VALUE"""),63435.0)</f>
        <v>63435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IFERROR(__xludf.DUMMYFUNCTION("""COMPUTED_VALUE"""),56.06)</f>
        <v>56.06</v>
      </c>
      <c r="C617" s="1">
        <f>IFERROR(__xludf.DUMMYFUNCTION("""COMPUTED_VALUE"""),56.58)</f>
        <v>56.58</v>
      </c>
      <c r="D617" s="1">
        <f>IFERROR(__xludf.DUMMYFUNCTION("""COMPUTED_VALUE"""),55.49)</f>
        <v>55.49</v>
      </c>
      <c r="E617" s="1">
        <f>IFERROR(__xludf.DUMMYFUNCTION("""COMPUTED_VALUE"""),56.11)</f>
        <v>56.11</v>
      </c>
      <c r="F617" s="1">
        <f>IFERROR(__xludf.DUMMYFUNCTION("""COMPUTED_VALUE"""),39868.0)</f>
        <v>39868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IFERROR(__xludf.DUMMYFUNCTION("""COMPUTED_VALUE"""),56.09)</f>
        <v>56.09</v>
      </c>
      <c r="C618" s="1">
        <f>IFERROR(__xludf.DUMMYFUNCTION("""COMPUTED_VALUE"""),56.12)</f>
        <v>56.12</v>
      </c>
      <c r="D618" s="1">
        <f>IFERROR(__xludf.DUMMYFUNCTION("""COMPUTED_VALUE"""),55.75)</f>
        <v>55.75</v>
      </c>
      <c r="E618" s="1">
        <f>IFERROR(__xludf.DUMMYFUNCTION("""COMPUTED_VALUE"""),55.95)</f>
        <v>55.95</v>
      </c>
      <c r="F618" s="1">
        <f>IFERROR(__xludf.DUMMYFUNCTION("""COMPUTED_VALUE"""),55433.0)</f>
        <v>55433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IFERROR(__xludf.DUMMYFUNCTION("""COMPUTED_VALUE"""),56.07)</f>
        <v>56.07</v>
      </c>
      <c r="C619" s="1">
        <f>IFERROR(__xludf.DUMMYFUNCTION("""COMPUTED_VALUE"""),56.43)</f>
        <v>56.43</v>
      </c>
      <c r="D619" s="1">
        <f>IFERROR(__xludf.DUMMYFUNCTION("""COMPUTED_VALUE"""),55.62)</f>
        <v>55.62</v>
      </c>
      <c r="E619" s="1">
        <f>IFERROR(__xludf.DUMMYFUNCTION("""COMPUTED_VALUE"""),56.24)</f>
        <v>56.24</v>
      </c>
      <c r="F619" s="1">
        <f>IFERROR(__xludf.DUMMYFUNCTION("""COMPUTED_VALUE"""),41731.0)</f>
        <v>41731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IFERROR(__xludf.DUMMYFUNCTION("""COMPUTED_VALUE"""),56.77)</f>
        <v>56.77</v>
      </c>
      <c r="C620" s="1">
        <f>IFERROR(__xludf.DUMMYFUNCTION("""COMPUTED_VALUE"""),57.2)</f>
        <v>57.2</v>
      </c>
      <c r="D620" s="1">
        <f>IFERROR(__xludf.DUMMYFUNCTION("""COMPUTED_VALUE"""),56.61)</f>
        <v>56.61</v>
      </c>
      <c r="E620" s="1">
        <f>IFERROR(__xludf.DUMMYFUNCTION("""COMPUTED_VALUE"""),56.96)</f>
        <v>56.96</v>
      </c>
      <c r="F620" s="1">
        <f>IFERROR(__xludf.DUMMYFUNCTION("""COMPUTED_VALUE"""),112228.0)</f>
        <v>112228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IFERROR(__xludf.DUMMYFUNCTION("""COMPUTED_VALUE"""),56.59)</f>
        <v>56.59</v>
      </c>
      <c r="C621" s="1">
        <f>IFERROR(__xludf.DUMMYFUNCTION("""COMPUTED_VALUE"""),57.32)</f>
        <v>57.32</v>
      </c>
      <c r="D621" s="1">
        <f>IFERROR(__xludf.DUMMYFUNCTION("""COMPUTED_VALUE"""),56.59)</f>
        <v>56.59</v>
      </c>
      <c r="E621" s="1">
        <f>IFERROR(__xludf.DUMMYFUNCTION("""COMPUTED_VALUE"""),57.06)</f>
        <v>57.06</v>
      </c>
      <c r="F621" s="1">
        <f>IFERROR(__xludf.DUMMYFUNCTION("""COMPUTED_VALUE"""),46211.0)</f>
        <v>46211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IFERROR(__xludf.DUMMYFUNCTION("""COMPUTED_VALUE"""),56.91)</f>
        <v>56.91</v>
      </c>
      <c r="C622" s="1">
        <f>IFERROR(__xludf.DUMMYFUNCTION("""COMPUTED_VALUE"""),57.95)</f>
        <v>57.95</v>
      </c>
      <c r="D622" s="1">
        <f>IFERROR(__xludf.DUMMYFUNCTION("""COMPUTED_VALUE"""),56.87)</f>
        <v>56.87</v>
      </c>
      <c r="E622" s="1">
        <f>IFERROR(__xludf.DUMMYFUNCTION("""COMPUTED_VALUE"""),57.48)</f>
        <v>57.48</v>
      </c>
      <c r="F622" s="1">
        <f>IFERROR(__xludf.DUMMYFUNCTION("""COMPUTED_VALUE"""),58695.0)</f>
        <v>58695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IFERROR(__xludf.DUMMYFUNCTION("""COMPUTED_VALUE"""),57.61)</f>
        <v>57.61</v>
      </c>
      <c r="C623" s="1">
        <f>IFERROR(__xludf.DUMMYFUNCTION("""COMPUTED_VALUE"""),58.09)</f>
        <v>58.09</v>
      </c>
      <c r="D623" s="1">
        <f>IFERROR(__xludf.DUMMYFUNCTION("""COMPUTED_VALUE"""),57.39)</f>
        <v>57.39</v>
      </c>
      <c r="E623" s="1">
        <f>IFERROR(__xludf.DUMMYFUNCTION("""COMPUTED_VALUE"""),57.89)</f>
        <v>57.89</v>
      </c>
      <c r="F623" s="1">
        <f>IFERROR(__xludf.DUMMYFUNCTION("""COMPUTED_VALUE"""),55878.0)</f>
        <v>55878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IFERROR(__xludf.DUMMYFUNCTION("""COMPUTED_VALUE"""),58.02)</f>
        <v>58.02</v>
      </c>
      <c r="C624" s="1">
        <f>IFERROR(__xludf.DUMMYFUNCTION("""COMPUTED_VALUE"""),58.02)</f>
        <v>58.02</v>
      </c>
      <c r="D624" s="1">
        <f>IFERROR(__xludf.DUMMYFUNCTION("""COMPUTED_VALUE"""),56.91)</f>
        <v>56.91</v>
      </c>
      <c r="E624" s="1">
        <f>IFERROR(__xludf.DUMMYFUNCTION("""COMPUTED_VALUE"""),57.69)</f>
        <v>57.69</v>
      </c>
      <c r="F624" s="1">
        <f>IFERROR(__xludf.DUMMYFUNCTION("""COMPUTED_VALUE"""),74712.0)</f>
        <v>74712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IFERROR(__xludf.DUMMYFUNCTION("""COMPUTED_VALUE"""),57.76)</f>
        <v>57.76</v>
      </c>
      <c r="C625" s="1">
        <f>IFERROR(__xludf.DUMMYFUNCTION("""COMPUTED_VALUE"""),58.15)</f>
        <v>58.15</v>
      </c>
      <c r="D625" s="1">
        <f>IFERROR(__xludf.DUMMYFUNCTION("""COMPUTED_VALUE"""),57.43)</f>
        <v>57.43</v>
      </c>
      <c r="E625" s="1">
        <f>IFERROR(__xludf.DUMMYFUNCTION("""COMPUTED_VALUE"""),57.89)</f>
        <v>57.89</v>
      </c>
      <c r="F625" s="1">
        <f>IFERROR(__xludf.DUMMYFUNCTION("""COMPUTED_VALUE"""),145904.0)</f>
        <v>145904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IFERROR(__xludf.DUMMYFUNCTION("""COMPUTED_VALUE"""),57.28)</f>
        <v>57.28</v>
      </c>
      <c r="C626" s="1">
        <f>IFERROR(__xludf.DUMMYFUNCTION("""COMPUTED_VALUE"""),57.88)</f>
        <v>57.88</v>
      </c>
      <c r="D626" s="1">
        <f>IFERROR(__xludf.DUMMYFUNCTION("""COMPUTED_VALUE"""),57.19)</f>
        <v>57.19</v>
      </c>
      <c r="E626" s="1">
        <f>IFERROR(__xludf.DUMMYFUNCTION("""COMPUTED_VALUE"""),57.48)</f>
        <v>57.48</v>
      </c>
      <c r="F626" s="1">
        <f>IFERROR(__xludf.DUMMYFUNCTION("""COMPUTED_VALUE"""),38879.0)</f>
        <v>38879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IFERROR(__xludf.DUMMYFUNCTION("""COMPUTED_VALUE"""),57.5)</f>
        <v>57.5</v>
      </c>
      <c r="C627" s="1">
        <f>IFERROR(__xludf.DUMMYFUNCTION("""COMPUTED_VALUE"""),57.68)</f>
        <v>57.68</v>
      </c>
      <c r="D627" s="1">
        <f>IFERROR(__xludf.DUMMYFUNCTION("""COMPUTED_VALUE"""),56.65)</f>
        <v>56.65</v>
      </c>
      <c r="E627" s="1">
        <f>IFERROR(__xludf.DUMMYFUNCTION("""COMPUTED_VALUE"""),57.31)</f>
        <v>57.31</v>
      </c>
      <c r="F627" s="1">
        <f>IFERROR(__xludf.DUMMYFUNCTION("""COMPUTED_VALUE"""),38683.0)</f>
        <v>38683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IFERROR(__xludf.DUMMYFUNCTION("""COMPUTED_VALUE"""),57.6)</f>
        <v>57.6</v>
      </c>
      <c r="C628" s="1">
        <f>IFERROR(__xludf.DUMMYFUNCTION("""COMPUTED_VALUE"""),58.14)</f>
        <v>58.14</v>
      </c>
      <c r="D628" s="1">
        <f>IFERROR(__xludf.DUMMYFUNCTION("""COMPUTED_VALUE"""),57.19)</f>
        <v>57.19</v>
      </c>
      <c r="E628" s="1">
        <f>IFERROR(__xludf.DUMMYFUNCTION("""COMPUTED_VALUE"""),57.86)</f>
        <v>57.86</v>
      </c>
      <c r="F628" s="1">
        <f>IFERROR(__xludf.DUMMYFUNCTION("""COMPUTED_VALUE"""),44922.0)</f>
        <v>44922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IFERROR(__xludf.DUMMYFUNCTION("""COMPUTED_VALUE"""),57.61)</f>
        <v>57.61</v>
      </c>
      <c r="C629" s="1">
        <f>IFERROR(__xludf.DUMMYFUNCTION("""COMPUTED_VALUE"""),57.61)</f>
        <v>57.61</v>
      </c>
      <c r="D629" s="1">
        <f>IFERROR(__xludf.DUMMYFUNCTION("""COMPUTED_VALUE"""),56.56)</f>
        <v>56.56</v>
      </c>
      <c r="E629" s="1">
        <f>IFERROR(__xludf.DUMMYFUNCTION("""COMPUTED_VALUE"""),57.16)</f>
        <v>57.16</v>
      </c>
      <c r="F629" s="1">
        <f>IFERROR(__xludf.DUMMYFUNCTION("""COMPUTED_VALUE"""),36015.0)</f>
        <v>36015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IFERROR(__xludf.DUMMYFUNCTION("""COMPUTED_VALUE"""),57.95)</f>
        <v>57.95</v>
      </c>
      <c r="C630" s="1">
        <f>IFERROR(__xludf.DUMMYFUNCTION("""COMPUTED_VALUE"""),59.48)</f>
        <v>59.48</v>
      </c>
      <c r="D630" s="1">
        <f>IFERROR(__xludf.DUMMYFUNCTION("""COMPUTED_VALUE"""),57.47)</f>
        <v>57.47</v>
      </c>
      <c r="E630" s="1">
        <f>IFERROR(__xludf.DUMMYFUNCTION("""COMPUTED_VALUE"""),59.1)</f>
        <v>59.1</v>
      </c>
      <c r="F630" s="1">
        <f>IFERROR(__xludf.DUMMYFUNCTION("""COMPUTED_VALUE"""),81360.0)</f>
        <v>81360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IFERROR(__xludf.DUMMYFUNCTION("""COMPUTED_VALUE"""),59.1)</f>
        <v>59.1</v>
      </c>
      <c r="C631" s="1">
        <f>IFERROR(__xludf.DUMMYFUNCTION("""COMPUTED_VALUE"""),59.8)</f>
        <v>59.8</v>
      </c>
      <c r="D631" s="1">
        <f>IFERROR(__xludf.DUMMYFUNCTION("""COMPUTED_VALUE"""),58.6)</f>
        <v>58.6</v>
      </c>
      <c r="E631" s="1">
        <f>IFERROR(__xludf.DUMMYFUNCTION("""COMPUTED_VALUE"""),59.57)</f>
        <v>59.57</v>
      </c>
      <c r="F631" s="1">
        <f>IFERROR(__xludf.DUMMYFUNCTION("""COMPUTED_VALUE"""),64941.0)</f>
        <v>64941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IFERROR(__xludf.DUMMYFUNCTION("""COMPUTED_VALUE"""),59.25)</f>
        <v>59.25</v>
      </c>
      <c r="C632" s="1">
        <f>IFERROR(__xludf.DUMMYFUNCTION("""COMPUTED_VALUE"""),59.68)</f>
        <v>59.68</v>
      </c>
      <c r="D632" s="1">
        <f>IFERROR(__xludf.DUMMYFUNCTION("""COMPUTED_VALUE"""),59.04)</f>
        <v>59.04</v>
      </c>
      <c r="E632" s="1">
        <f>IFERROR(__xludf.DUMMYFUNCTION("""COMPUTED_VALUE"""),59.47)</f>
        <v>59.47</v>
      </c>
      <c r="F632" s="1">
        <f>IFERROR(__xludf.DUMMYFUNCTION("""COMPUTED_VALUE"""),33521.0)</f>
        <v>33521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IFERROR(__xludf.DUMMYFUNCTION("""COMPUTED_VALUE"""),59.1)</f>
        <v>59.1</v>
      </c>
      <c r="C633" s="1">
        <f>IFERROR(__xludf.DUMMYFUNCTION("""COMPUTED_VALUE"""),59.48)</f>
        <v>59.48</v>
      </c>
      <c r="D633" s="1">
        <f>IFERROR(__xludf.DUMMYFUNCTION("""COMPUTED_VALUE"""),58.77)</f>
        <v>58.77</v>
      </c>
      <c r="E633" s="1">
        <f>IFERROR(__xludf.DUMMYFUNCTION("""COMPUTED_VALUE"""),58.9)</f>
        <v>58.9</v>
      </c>
      <c r="F633" s="1">
        <f>IFERROR(__xludf.DUMMYFUNCTION("""COMPUTED_VALUE"""),27472.0)</f>
        <v>27472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IFERROR(__xludf.DUMMYFUNCTION("""COMPUTED_VALUE"""),58.75)</f>
        <v>58.75</v>
      </c>
      <c r="C634" s="1">
        <f>IFERROR(__xludf.DUMMYFUNCTION("""COMPUTED_VALUE"""),59.12)</f>
        <v>59.12</v>
      </c>
      <c r="D634" s="1">
        <f>IFERROR(__xludf.DUMMYFUNCTION("""COMPUTED_VALUE"""),58.46)</f>
        <v>58.46</v>
      </c>
      <c r="E634" s="1">
        <f>IFERROR(__xludf.DUMMYFUNCTION("""COMPUTED_VALUE"""),59.05)</f>
        <v>59.05</v>
      </c>
      <c r="F634" s="1">
        <f>IFERROR(__xludf.DUMMYFUNCTION("""COMPUTED_VALUE"""),37531.0)</f>
        <v>37531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IFERROR(__xludf.DUMMYFUNCTION("""COMPUTED_VALUE"""),58.78)</f>
        <v>58.78</v>
      </c>
      <c r="C635" s="1">
        <f>IFERROR(__xludf.DUMMYFUNCTION("""COMPUTED_VALUE"""),59.05)</f>
        <v>59.05</v>
      </c>
      <c r="D635" s="1">
        <f>IFERROR(__xludf.DUMMYFUNCTION("""COMPUTED_VALUE"""),58.34)</f>
        <v>58.34</v>
      </c>
      <c r="E635" s="1">
        <f>IFERROR(__xludf.DUMMYFUNCTION("""COMPUTED_VALUE"""),58.83)</f>
        <v>58.83</v>
      </c>
      <c r="F635" s="1">
        <f>IFERROR(__xludf.DUMMYFUNCTION("""COMPUTED_VALUE"""),58149.0)</f>
        <v>58149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IFERROR(__xludf.DUMMYFUNCTION("""COMPUTED_VALUE"""),58.89)</f>
        <v>58.89</v>
      </c>
      <c r="C636" s="1">
        <f>IFERROR(__xludf.DUMMYFUNCTION("""COMPUTED_VALUE"""),59.1)</f>
        <v>59.1</v>
      </c>
      <c r="D636" s="1">
        <f>IFERROR(__xludf.DUMMYFUNCTION("""COMPUTED_VALUE"""),58.06)</f>
        <v>58.06</v>
      </c>
      <c r="E636" s="1">
        <f>IFERROR(__xludf.DUMMYFUNCTION("""COMPUTED_VALUE"""),58.1)</f>
        <v>58.1</v>
      </c>
      <c r="F636" s="1">
        <f>IFERROR(__xludf.DUMMYFUNCTION("""COMPUTED_VALUE"""),25105.0)</f>
        <v>25105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IFERROR(__xludf.DUMMYFUNCTION("""COMPUTED_VALUE"""),58.37)</f>
        <v>58.37</v>
      </c>
      <c r="C637" s="1">
        <f>IFERROR(__xludf.DUMMYFUNCTION("""COMPUTED_VALUE"""),58.37)</f>
        <v>58.37</v>
      </c>
      <c r="D637" s="1">
        <f>IFERROR(__xludf.DUMMYFUNCTION("""COMPUTED_VALUE"""),57.65)</f>
        <v>57.65</v>
      </c>
      <c r="E637" s="1">
        <f>IFERROR(__xludf.DUMMYFUNCTION("""COMPUTED_VALUE"""),57.88)</f>
        <v>57.88</v>
      </c>
      <c r="F637" s="1">
        <f>IFERROR(__xludf.DUMMYFUNCTION("""COMPUTED_VALUE"""),25094.0)</f>
        <v>25094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IFERROR(__xludf.DUMMYFUNCTION("""COMPUTED_VALUE"""),57.48)</f>
        <v>57.48</v>
      </c>
      <c r="C638" s="1">
        <f>IFERROR(__xludf.DUMMYFUNCTION("""COMPUTED_VALUE"""),57.48)</f>
        <v>57.48</v>
      </c>
      <c r="D638" s="1">
        <f>IFERROR(__xludf.DUMMYFUNCTION("""COMPUTED_VALUE"""),56.55)</f>
        <v>56.55</v>
      </c>
      <c r="E638" s="1">
        <f>IFERROR(__xludf.DUMMYFUNCTION("""COMPUTED_VALUE"""),56.92)</f>
        <v>56.92</v>
      </c>
      <c r="F638" s="1">
        <f>IFERROR(__xludf.DUMMYFUNCTION("""COMPUTED_VALUE"""),31825.0)</f>
        <v>31825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IFERROR(__xludf.DUMMYFUNCTION("""COMPUTED_VALUE"""),57.07)</f>
        <v>57.07</v>
      </c>
      <c r="C639" s="1">
        <f>IFERROR(__xludf.DUMMYFUNCTION("""COMPUTED_VALUE"""),57.68)</f>
        <v>57.68</v>
      </c>
      <c r="D639" s="1">
        <f>IFERROR(__xludf.DUMMYFUNCTION("""COMPUTED_VALUE"""),56.75)</f>
        <v>56.75</v>
      </c>
      <c r="E639" s="1">
        <f>IFERROR(__xludf.DUMMYFUNCTION("""COMPUTED_VALUE"""),57.48)</f>
        <v>57.48</v>
      </c>
      <c r="F639" s="1">
        <f>IFERROR(__xludf.DUMMYFUNCTION("""COMPUTED_VALUE"""),41336.0)</f>
        <v>41336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IFERROR(__xludf.DUMMYFUNCTION("""COMPUTED_VALUE"""),57.57)</f>
        <v>57.57</v>
      </c>
      <c r="C640" s="1">
        <f>IFERROR(__xludf.DUMMYFUNCTION("""COMPUTED_VALUE"""),57.57)</f>
        <v>57.57</v>
      </c>
      <c r="D640" s="1">
        <f>IFERROR(__xludf.DUMMYFUNCTION("""COMPUTED_VALUE"""),56.6)</f>
        <v>56.6</v>
      </c>
      <c r="E640" s="1">
        <f>IFERROR(__xludf.DUMMYFUNCTION("""COMPUTED_VALUE"""),56.72)</f>
        <v>56.72</v>
      </c>
      <c r="F640" s="1">
        <f>IFERROR(__xludf.DUMMYFUNCTION("""COMPUTED_VALUE"""),23430.0)</f>
        <v>23430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IFERROR(__xludf.DUMMYFUNCTION("""COMPUTED_VALUE"""),57.18)</f>
        <v>57.18</v>
      </c>
      <c r="C641" s="1">
        <f>IFERROR(__xludf.DUMMYFUNCTION("""COMPUTED_VALUE"""),57.18)</f>
        <v>57.18</v>
      </c>
      <c r="D641" s="1">
        <f>IFERROR(__xludf.DUMMYFUNCTION("""COMPUTED_VALUE"""),56.32)</f>
        <v>56.32</v>
      </c>
      <c r="E641" s="1">
        <f>IFERROR(__xludf.DUMMYFUNCTION("""COMPUTED_VALUE"""),56.77)</f>
        <v>56.77</v>
      </c>
      <c r="F641" s="1">
        <f>IFERROR(__xludf.DUMMYFUNCTION("""COMPUTED_VALUE"""),16440.0)</f>
        <v>16440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IFERROR(__xludf.DUMMYFUNCTION("""COMPUTED_VALUE"""),56.83)</f>
        <v>56.83</v>
      </c>
      <c r="C642" s="1">
        <f>IFERROR(__xludf.DUMMYFUNCTION("""COMPUTED_VALUE"""),56.94)</f>
        <v>56.94</v>
      </c>
      <c r="D642" s="1">
        <f>IFERROR(__xludf.DUMMYFUNCTION("""COMPUTED_VALUE"""),55.63)</f>
        <v>55.63</v>
      </c>
      <c r="E642" s="1">
        <f>IFERROR(__xludf.DUMMYFUNCTION("""COMPUTED_VALUE"""),56.18)</f>
        <v>56.18</v>
      </c>
      <c r="F642" s="1">
        <f>IFERROR(__xludf.DUMMYFUNCTION("""COMPUTED_VALUE"""),25301.0)</f>
        <v>25301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IFERROR(__xludf.DUMMYFUNCTION("""COMPUTED_VALUE"""),56.3)</f>
        <v>56.3</v>
      </c>
      <c r="C643" s="1">
        <f>IFERROR(__xludf.DUMMYFUNCTION("""COMPUTED_VALUE"""),56.3)</f>
        <v>56.3</v>
      </c>
      <c r="D643" s="1">
        <f>IFERROR(__xludf.DUMMYFUNCTION("""COMPUTED_VALUE"""),53.84)</f>
        <v>53.84</v>
      </c>
      <c r="E643" s="1">
        <f>IFERROR(__xludf.DUMMYFUNCTION("""COMPUTED_VALUE"""),54.43)</f>
        <v>54.43</v>
      </c>
      <c r="F643" s="1">
        <f>IFERROR(__xludf.DUMMYFUNCTION("""COMPUTED_VALUE"""),45594.0)</f>
        <v>45594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IFERROR(__xludf.DUMMYFUNCTION("""COMPUTED_VALUE"""),53.98)</f>
        <v>53.98</v>
      </c>
      <c r="C644" s="1">
        <f>IFERROR(__xludf.DUMMYFUNCTION("""COMPUTED_VALUE"""),54.33)</f>
        <v>54.33</v>
      </c>
      <c r="D644" s="1">
        <f>IFERROR(__xludf.DUMMYFUNCTION("""COMPUTED_VALUE"""),53.75)</f>
        <v>53.75</v>
      </c>
      <c r="E644" s="1">
        <f>IFERROR(__xludf.DUMMYFUNCTION("""COMPUTED_VALUE"""),54.0)</f>
        <v>54</v>
      </c>
      <c r="F644" s="1">
        <f>IFERROR(__xludf.DUMMYFUNCTION("""COMPUTED_VALUE"""),46572.0)</f>
        <v>46572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IFERROR(__xludf.DUMMYFUNCTION("""COMPUTED_VALUE"""),53.5)</f>
        <v>53.5</v>
      </c>
      <c r="C645" s="1">
        <f>IFERROR(__xludf.DUMMYFUNCTION("""COMPUTED_VALUE"""),53.88)</f>
        <v>53.88</v>
      </c>
      <c r="D645" s="1">
        <f>IFERROR(__xludf.DUMMYFUNCTION("""COMPUTED_VALUE"""),52.9)</f>
        <v>52.9</v>
      </c>
      <c r="E645" s="1">
        <f>IFERROR(__xludf.DUMMYFUNCTION("""COMPUTED_VALUE"""),52.99)</f>
        <v>52.99</v>
      </c>
      <c r="F645" s="1">
        <f>IFERROR(__xludf.DUMMYFUNCTION("""COMPUTED_VALUE"""),36331.0)</f>
        <v>36331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IFERROR(__xludf.DUMMYFUNCTION("""COMPUTED_VALUE"""),53.0)</f>
        <v>53</v>
      </c>
      <c r="C646" s="1">
        <f>IFERROR(__xludf.DUMMYFUNCTION("""COMPUTED_VALUE"""),53.58)</f>
        <v>53.58</v>
      </c>
      <c r="D646" s="1">
        <f>IFERROR(__xludf.DUMMYFUNCTION("""COMPUTED_VALUE"""),51.91)</f>
        <v>51.91</v>
      </c>
      <c r="E646" s="1">
        <f>IFERROR(__xludf.DUMMYFUNCTION("""COMPUTED_VALUE"""),53.39)</f>
        <v>53.39</v>
      </c>
      <c r="F646" s="1">
        <f>IFERROR(__xludf.DUMMYFUNCTION("""COMPUTED_VALUE"""),62822.0)</f>
        <v>62822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IFERROR(__xludf.DUMMYFUNCTION("""COMPUTED_VALUE"""),54.29)</f>
        <v>54.29</v>
      </c>
      <c r="C647" s="1">
        <f>IFERROR(__xludf.DUMMYFUNCTION("""COMPUTED_VALUE"""),56.38)</f>
        <v>56.38</v>
      </c>
      <c r="D647" s="1">
        <f>IFERROR(__xludf.DUMMYFUNCTION("""COMPUTED_VALUE"""),53.98)</f>
        <v>53.98</v>
      </c>
      <c r="E647" s="1">
        <f>IFERROR(__xludf.DUMMYFUNCTION("""COMPUTED_VALUE"""),55.67)</f>
        <v>55.67</v>
      </c>
      <c r="F647" s="1">
        <f>IFERROR(__xludf.DUMMYFUNCTION("""COMPUTED_VALUE"""),117228.0)</f>
        <v>117228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IFERROR(__xludf.DUMMYFUNCTION("""COMPUTED_VALUE"""),56.26)</f>
        <v>56.26</v>
      </c>
      <c r="C648" s="1">
        <f>IFERROR(__xludf.DUMMYFUNCTION("""COMPUTED_VALUE"""),57.01)</f>
        <v>57.01</v>
      </c>
      <c r="D648" s="1">
        <f>IFERROR(__xludf.DUMMYFUNCTION("""COMPUTED_VALUE"""),55.58)</f>
        <v>55.58</v>
      </c>
      <c r="E648" s="1">
        <f>IFERROR(__xludf.DUMMYFUNCTION("""COMPUTED_VALUE"""),56.85)</f>
        <v>56.85</v>
      </c>
      <c r="F648" s="1">
        <f>IFERROR(__xludf.DUMMYFUNCTION("""COMPUTED_VALUE"""),71246.0)</f>
        <v>71246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IFERROR(__xludf.DUMMYFUNCTION("""COMPUTED_VALUE"""),56.95)</f>
        <v>56.95</v>
      </c>
      <c r="C649" s="1">
        <f>IFERROR(__xludf.DUMMYFUNCTION("""COMPUTED_VALUE"""),58.4)</f>
        <v>58.4</v>
      </c>
      <c r="D649" s="1">
        <f>IFERROR(__xludf.DUMMYFUNCTION("""COMPUTED_VALUE"""),56.82)</f>
        <v>56.82</v>
      </c>
      <c r="E649" s="1">
        <f>IFERROR(__xludf.DUMMYFUNCTION("""COMPUTED_VALUE"""),57.48)</f>
        <v>57.48</v>
      </c>
      <c r="F649" s="1">
        <f>IFERROR(__xludf.DUMMYFUNCTION("""COMPUTED_VALUE"""),38909.0)</f>
        <v>38909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IFERROR(__xludf.DUMMYFUNCTION("""COMPUTED_VALUE"""),57.33)</f>
        <v>57.33</v>
      </c>
      <c r="C650" s="1">
        <f>IFERROR(__xludf.DUMMYFUNCTION("""COMPUTED_VALUE"""),59.44)</f>
        <v>59.44</v>
      </c>
      <c r="D650" s="1">
        <f>IFERROR(__xludf.DUMMYFUNCTION("""COMPUTED_VALUE"""),57.33)</f>
        <v>57.33</v>
      </c>
      <c r="E650" s="1">
        <f>IFERROR(__xludf.DUMMYFUNCTION("""COMPUTED_VALUE"""),58.9)</f>
        <v>58.9</v>
      </c>
      <c r="F650" s="1">
        <f>IFERROR(__xludf.DUMMYFUNCTION("""COMPUTED_VALUE"""),48447.0)</f>
        <v>48447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IFERROR(__xludf.DUMMYFUNCTION("""COMPUTED_VALUE"""),58.62)</f>
        <v>58.62</v>
      </c>
      <c r="C651" s="1">
        <f>IFERROR(__xludf.DUMMYFUNCTION("""COMPUTED_VALUE"""),59.31)</f>
        <v>59.31</v>
      </c>
      <c r="D651" s="1">
        <f>IFERROR(__xludf.DUMMYFUNCTION("""COMPUTED_VALUE"""),57.65)</f>
        <v>57.65</v>
      </c>
      <c r="E651" s="1">
        <f>IFERROR(__xludf.DUMMYFUNCTION("""COMPUTED_VALUE"""),57.79)</f>
        <v>57.79</v>
      </c>
      <c r="F651" s="1">
        <f>IFERROR(__xludf.DUMMYFUNCTION("""COMPUTED_VALUE"""),45755.0)</f>
        <v>45755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IFERROR(__xludf.DUMMYFUNCTION("""COMPUTED_VALUE"""),58.18)</f>
        <v>58.18</v>
      </c>
      <c r="C652" s="1">
        <f>IFERROR(__xludf.DUMMYFUNCTION("""COMPUTED_VALUE"""),58.83)</f>
        <v>58.83</v>
      </c>
      <c r="D652" s="1">
        <f>IFERROR(__xludf.DUMMYFUNCTION("""COMPUTED_VALUE"""),56.55)</f>
        <v>56.55</v>
      </c>
      <c r="E652" s="1">
        <f>IFERROR(__xludf.DUMMYFUNCTION("""COMPUTED_VALUE"""),56.79)</f>
        <v>56.79</v>
      </c>
      <c r="F652" s="1">
        <f>IFERROR(__xludf.DUMMYFUNCTION("""COMPUTED_VALUE"""),70448.0)</f>
        <v>70448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IFERROR(__xludf.DUMMYFUNCTION("""COMPUTED_VALUE"""),56.56)</f>
        <v>56.56</v>
      </c>
      <c r="C653" s="1">
        <f>IFERROR(__xludf.DUMMYFUNCTION("""COMPUTED_VALUE"""),57.46)</f>
        <v>57.46</v>
      </c>
      <c r="D653" s="1">
        <f>IFERROR(__xludf.DUMMYFUNCTION("""COMPUTED_VALUE"""),56.33)</f>
        <v>56.33</v>
      </c>
      <c r="E653" s="1">
        <f>IFERROR(__xludf.DUMMYFUNCTION("""COMPUTED_VALUE"""),56.84)</f>
        <v>56.84</v>
      </c>
      <c r="F653" s="1">
        <f>IFERROR(__xludf.DUMMYFUNCTION("""COMPUTED_VALUE"""),35204.0)</f>
        <v>35204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IFERROR(__xludf.DUMMYFUNCTION("""COMPUTED_VALUE"""),57.49)</f>
        <v>57.49</v>
      </c>
      <c r="C654" s="1">
        <f>IFERROR(__xludf.DUMMYFUNCTION("""COMPUTED_VALUE"""),59.05)</f>
        <v>59.05</v>
      </c>
      <c r="D654" s="1">
        <f>IFERROR(__xludf.DUMMYFUNCTION("""COMPUTED_VALUE"""),57.49)</f>
        <v>57.49</v>
      </c>
      <c r="E654" s="1">
        <f>IFERROR(__xludf.DUMMYFUNCTION("""COMPUTED_VALUE"""),57.93)</f>
        <v>57.93</v>
      </c>
      <c r="F654" s="1">
        <f>IFERROR(__xludf.DUMMYFUNCTION("""COMPUTED_VALUE"""),39631.0)</f>
        <v>39631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IFERROR(__xludf.DUMMYFUNCTION("""COMPUTED_VALUE"""),57.82)</f>
        <v>57.82</v>
      </c>
      <c r="C655" s="1">
        <f>IFERROR(__xludf.DUMMYFUNCTION("""COMPUTED_VALUE"""),58.54)</f>
        <v>58.54</v>
      </c>
      <c r="D655" s="1">
        <f>IFERROR(__xludf.DUMMYFUNCTION("""COMPUTED_VALUE"""),57.54)</f>
        <v>57.54</v>
      </c>
      <c r="E655" s="1">
        <f>IFERROR(__xludf.DUMMYFUNCTION("""COMPUTED_VALUE"""),57.77)</f>
        <v>57.77</v>
      </c>
      <c r="F655" s="1">
        <f>IFERROR(__xludf.DUMMYFUNCTION("""COMPUTED_VALUE"""),21097.0)</f>
        <v>21097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IFERROR(__xludf.DUMMYFUNCTION("""COMPUTED_VALUE"""),58.25)</f>
        <v>58.25</v>
      </c>
      <c r="C656" s="1">
        <f>IFERROR(__xludf.DUMMYFUNCTION("""COMPUTED_VALUE"""),58.25)</f>
        <v>58.25</v>
      </c>
      <c r="D656" s="1">
        <f>IFERROR(__xludf.DUMMYFUNCTION("""COMPUTED_VALUE"""),57.36)</f>
        <v>57.36</v>
      </c>
      <c r="E656" s="1">
        <f>IFERROR(__xludf.DUMMYFUNCTION("""COMPUTED_VALUE"""),57.69)</f>
        <v>57.69</v>
      </c>
      <c r="F656" s="1">
        <f>IFERROR(__xludf.DUMMYFUNCTION("""COMPUTED_VALUE"""),29903.0)</f>
        <v>29903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IFERROR(__xludf.DUMMYFUNCTION("""COMPUTED_VALUE"""),57.65)</f>
        <v>57.65</v>
      </c>
      <c r="C657" s="1">
        <f>IFERROR(__xludf.DUMMYFUNCTION("""COMPUTED_VALUE"""),57.86)</f>
        <v>57.86</v>
      </c>
      <c r="D657" s="1">
        <f>IFERROR(__xludf.DUMMYFUNCTION("""COMPUTED_VALUE"""),57.22)</f>
        <v>57.22</v>
      </c>
      <c r="E657" s="1">
        <f>IFERROR(__xludf.DUMMYFUNCTION("""COMPUTED_VALUE"""),57.6)</f>
        <v>57.6</v>
      </c>
      <c r="F657" s="1">
        <f>IFERROR(__xludf.DUMMYFUNCTION("""COMPUTED_VALUE"""),30852.0)</f>
        <v>30852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IFERROR(__xludf.DUMMYFUNCTION("""COMPUTED_VALUE"""),57.67)</f>
        <v>57.67</v>
      </c>
      <c r="C658" s="1">
        <f>IFERROR(__xludf.DUMMYFUNCTION("""COMPUTED_VALUE"""),58.0)</f>
        <v>58</v>
      </c>
      <c r="D658" s="1">
        <f>IFERROR(__xludf.DUMMYFUNCTION("""COMPUTED_VALUE"""),57.02)</f>
        <v>57.02</v>
      </c>
      <c r="E658" s="1">
        <f>IFERROR(__xludf.DUMMYFUNCTION("""COMPUTED_VALUE"""),57.8)</f>
        <v>57.8</v>
      </c>
      <c r="F658" s="1">
        <f>IFERROR(__xludf.DUMMYFUNCTION("""COMPUTED_VALUE"""),54111.0)</f>
        <v>54111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IFERROR(__xludf.DUMMYFUNCTION("""COMPUTED_VALUE"""),57.78)</f>
        <v>57.78</v>
      </c>
      <c r="C659" s="1">
        <f>IFERROR(__xludf.DUMMYFUNCTION("""COMPUTED_VALUE"""),57.78)</f>
        <v>57.78</v>
      </c>
      <c r="D659" s="1">
        <f>IFERROR(__xludf.DUMMYFUNCTION("""COMPUTED_VALUE"""),57.19)</f>
        <v>57.19</v>
      </c>
      <c r="E659" s="1">
        <f>IFERROR(__xludf.DUMMYFUNCTION("""COMPUTED_VALUE"""),57.42)</f>
        <v>57.42</v>
      </c>
      <c r="F659" s="1">
        <f>IFERROR(__xludf.DUMMYFUNCTION("""COMPUTED_VALUE"""),19520.0)</f>
        <v>19520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IFERROR(__xludf.DUMMYFUNCTION("""COMPUTED_VALUE"""),57.15)</f>
        <v>57.15</v>
      </c>
      <c r="C660" s="1">
        <f>IFERROR(__xludf.DUMMYFUNCTION("""COMPUTED_VALUE"""),57.18)</f>
        <v>57.18</v>
      </c>
      <c r="D660" s="1">
        <f>IFERROR(__xludf.DUMMYFUNCTION("""COMPUTED_VALUE"""),56.33)</f>
        <v>56.33</v>
      </c>
      <c r="E660" s="1">
        <f>IFERROR(__xludf.DUMMYFUNCTION("""COMPUTED_VALUE"""),56.92)</f>
        <v>56.92</v>
      </c>
      <c r="F660" s="1">
        <f>IFERROR(__xludf.DUMMYFUNCTION("""COMPUTED_VALUE"""),13696.0)</f>
        <v>13696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IFERROR(__xludf.DUMMYFUNCTION("""COMPUTED_VALUE"""),57.29)</f>
        <v>57.29</v>
      </c>
      <c r="C661" s="1">
        <f>IFERROR(__xludf.DUMMYFUNCTION("""COMPUTED_VALUE"""),57.29)</f>
        <v>57.29</v>
      </c>
      <c r="D661" s="1">
        <f>IFERROR(__xludf.DUMMYFUNCTION("""COMPUTED_VALUE"""),56.53)</f>
        <v>56.53</v>
      </c>
      <c r="E661" s="1">
        <f>IFERROR(__xludf.DUMMYFUNCTION("""COMPUTED_VALUE"""),56.84)</f>
        <v>56.84</v>
      </c>
      <c r="F661" s="1">
        <f>IFERROR(__xludf.DUMMYFUNCTION("""COMPUTED_VALUE"""),32252.0)</f>
        <v>32252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IFERROR(__xludf.DUMMYFUNCTION("""COMPUTED_VALUE"""),56.89)</f>
        <v>56.89</v>
      </c>
      <c r="C662" s="1">
        <f>IFERROR(__xludf.DUMMYFUNCTION("""COMPUTED_VALUE"""),57.68)</f>
        <v>57.68</v>
      </c>
      <c r="D662" s="1">
        <f>IFERROR(__xludf.DUMMYFUNCTION("""COMPUTED_VALUE"""),56.87)</f>
        <v>56.87</v>
      </c>
      <c r="E662" s="1">
        <f>IFERROR(__xludf.DUMMYFUNCTION("""COMPUTED_VALUE"""),57.24)</f>
        <v>57.24</v>
      </c>
      <c r="F662" s="1">
        <f>IFERROR(__xludf.DUMMYFUNCTION("""COMPUTED_VALUE"""),19973.0)</f>
        <v>19973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IFERROR(__xludf.DUMMYFUNCTION("""COMPUTED_VALUE"""),56.98)</f>
        <v>56.98</v>
      </c>
      <c r="C663" s="1">
        <f>IFERROR(__xludf.DUMMYFUNCTION("""COMPUTED_VALUE"""),57.47)</f>
        <v>57.47</v>
      </c>
      <c r="D663" s="1">
        <f>IFERROR(__xludf.DUMMYFUNCTION("""COMPUTED_VALUE"""),56.36)</f>
        <v>56.36</v>
      </c>
      <c r="E663" s="1">
        <f>IFERROR(__xludf.DUMMYFUNCTION("""COMPUTED_VALUE"""),57.36)</f>
        <v>57.36</v>
      </c>
      <c r="F663" s="1">
        <f>IFERROR(__xludf.DUMMYFUNCTION("""COMPUTED_VALUE"""),30819.0)</f>
        <v>30819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IFERROR(__xludf.DUMMYFUNCTION("""COMPUTED_VALUE"""),57.25)</f>
        <v>57.25</v>
      </c>
      <c r="C664" s="1">
        <f>IFERROR(__xludf.DUMMYFUNCTION("""COMPUTED_VALUE"""),57.99)</f>
        <v>57.99</v>
      </c>
      <c r="D664" s="1">
        <f>IFERROR(__xludf.DUMMYFUNCTION("""COMPUTED_VALUE"""),56.72)</f>
        <v>56.72</v>
      </c>
      <c r="E664" s="1">
        <f>IFERROR(__xludf.DUMMYFUNCTION("""COMPUTED_VALUE"""),57.82)</f>
        <v>57.82</v>
      </c>
      <c r="F664" s="1">
        <f>IFERROR(__xludf.DUMMYFUNCTION("""COMPUTED_VALUE"""),28869.0)</f>
        <v>28869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IFERROR(__xludf.DUMMYFUNCTION("""COMPUTED_VALUE"""),57.53)</f>
        <v>57.53</v>
      </c>
      <c r="C665" s="1">
        <f>IFERROR(__xludf.DUMMYFUNCTION("""COMPUTED_VALUE"""),58.04)</f>
        <v>58.04</v>
      </c>
      <c r="D665" s="1">
        <f>IFERROR(__xludf.DUMMYFUNCTION("""COMPUTED_VALUE"""),57.32)</f>
        <v>57.32</v>
      </c>
      <c r="E665" s="1">
        <f>IFERROR(__xludf.DUMMYFUNCTION("""COMPUTED_VALUE"""),57.76)</f>
        <v>57.76</v>
      </c>
      <c r="F665" s="1">
        <f>IFERROR(__xludf.DUMMYFUNCTION("""COMPUTED_VALUE"""),19311.0)</f>
        <v>19311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IFERROR(__xludf.DUMMYFUNCTION("""COMPUTED_VALUE"""),58.12)</f>
        <v>58.12</v>
      </c>
      <c r="C666" s="1">
        <f>IFERROR(__xludf.DUMMYFUNCTION("""COMPUTED_VALUE"""),58.32)</f>
        <v>58.32</v>
      </c>
      <c r="D666" s="1">
        <f>IFERROR(__xludf.DUMMYFUNCTION("""COMPUTED_VALUE"""),57.65)</f>
        <v>57.65</v>
      </c>
      <c r="E666" s="1">
        <f>IFERROR(__xludf.DUMMYFUNCTION("""COMPUTED_VALUE"""),57.98)</f>
        <v>57.98</v>
      </c>
      <c r="F666" s="1">
        <f>IFERROR(__xludf.DUMMYFUNCTION("""COMPUTED_VALUE"""),37849.0)</f>
        <v>37849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IFERROR(__xludf.DUMMYFUNCTION("""COMPUTED_VALUE"""),57.86)</f>
        <v>57.86</v>
      </c>
      <c r="C667" s="1">
        <f>IFERROR(__xludf.DUMMYFUNCTION("""COMPUTED_VALUE"""),57.95)</f>
        <v>57.95</v>
      </c>
      <c r="D667" s="1">
        <f>IFERROR(__xludf.DUMMYFUNCTION("""COMPUTED_VALUE"""),57.36)</f>
        <v>57.36</v>
      </c>
      <c r="E667" s="1">
        <f>IFERROR(__xludf.DUMMYFUNCTION("""COMPUTED_VALUE"""),57.77)</f>
        <v>57.77</v>
      </c>
      <c r="F667" s="1">
        <f>IFERROR(__xludf.DUMMYFUNCTION("""COMPUTED_VALUE"""),26339.0)</f>
        <v>26339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IFERROR(__xludf.DUMMYFUNCTION("""COMPUTED_VALUE"""),57.6)</f>
        <v>57.6</v>
      </c>
      <c r="C668" s="1">
        <f>IFERROR(__xludf.DUMMYFUNCTION("""COMPUTED_VALUE"""),57.6)</f>
        <v>57.6</v>
      </c>
      <c r="D668" s="1">
        <f>IFERROR(__xludf.DUMMYFUNCTION("""COMPUTED_VALUE"""),56.54)</f>
        <v>56.54</v>
      </c>
      <c r="E668" s="1">
        <f>IFERROR(__xludf.DUMMYFUNCTION("""COMPUTED_VALUE"""),57.06)</f>
        <v>57.06</v>
      </c>
      <c r="F668" s="1">
        <f>IFERROR(__xludf.DUMMYFUNCTION("""COMPUTED_VALUE"""),24900.0)</f>
        <v>24900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IFERROR(__xludf.DUMMYFUNCTION("""COMPUTED_VALUE"""),56.86)</f>
        <v>56.86</v>
      </c>
      <c r="C669" s="1">
        <f>IFERROR(__xludf.DUMMYFUNCTION("""COMPUTED_VALUE"""),57.73)</f>
        <v>57.73</v>
      </c>
      <c r="D669" s="1">
        <f>IFERROR(__xludf.DUMMYFUNCTION("""COMPUTED_VALUE"""),56.44)</f>
        <v>56.44</v>
      </c>
      <c r="E669" s="1">
        <f>IFERROR(__xludf.DUMMYFUNCTION("""COMPUTED_VALUE"""),57.52)</f>
        <v>57.52</v>
      </c>
      <c r="F669" s="1">
        <f>IFERROR(__xludf.DUMMYFUNCTION("""COMPUTED_VALUE"""),25545.0)</f>
        <v>25545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IFERROR(__xludf.DUMMYFUNCTION("""COMPUTED_VALUE"""),57.53)</f>
        <v>57.53</v>
      </c>
      <c r="C670" s="1">
        <f>IFERROR(__xludf.DUMMYFUNCTION("""COMPUTED_VALUE"""),57.76)</f>
        <v>57.76</v>
      </c>
      <c r="D670" s="1">
        <f>IFERROR(__xludf.DUMMYFUNCTION("""COMPUTED_VALUE"""),56.76)</f>
        <v>56.76</v>
      </c>
      <c r="E670" s="1">
        <f>IFERROR(__xludf.DUMMYFUNCTION("""COMPUTED_VALUE"""),57.68)</f>
        <v>57.68</v>
      </c>
      <c r="F670" s="1">
        <f>IFERROR(__xludf.DUMMYFUNCTION("""COMPUTED_VALUE"""),34632.0)</f>
        <v>34632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IFERROR(__xludf.DUMMYFUNCTION("""COMPUTED_VALUE"""),57.78)</f>
        <v>57.78</v>
      </c>
      <c r="C671" s="1">
        <f>IFERROR(__xludf.DUMMYFUNCTION("""COMPUTED_VALUE"""),58.36)</f>
        <v>58.36</v>
      </c>
      <c r="D671" s="1">
        <f>IFERROR(__xludf.DUMMYFUNCTION("""COMPUTED_VALUE"""),57.56)</f>
        <v>57.56</v>
      </c>
      <c r="E671" s="1">
        <f>IFERROR(__xludf.DUMMYFUNCTION("""COMPUTED_VALUE"""),58.01)</f>
        <v>58.01</v>
      </c>
      <c r="F671" s="1">
        <f>IFERROR(__xludf.DUMMYFUNCTION("""COMPUTED_VALUE"""),29228.0)</f>
        <v>29228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IFERROR(__xludf.DUMMYFUNCTION("""COMPUTED_VALUE"""),58.3)</f>
        <v>58.3</v>
      </c>
      <c r="C672" s="1">
        <f>IFERROR(__xludf.DUMMYFUNCTION("""COMPUTED_VALUE"""),58.3)</f>
        <v>58.3</v>
      </c>
      <c r="D672" s="1">
        <f>IFERROR(__xludf.DUMMYFUNCTION("""COMPUTED_VALUE"""),57.75)</f>
        <v>57.75</v>
      </c>
      <c r="E672" s="1">
        <f>IFERROR(__xludf.DUMMYFUNCTION("""COMPUTED_VALUE"""),57.99)</f>
        <v>57.99</v>
      </c>
      <c r="F672" s="1">
        <f>IFERROR(__xludf.DUMMYFUNCTION("""COMPUTED_VALUE"""),22397.0)</f>
        <v>22397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IFERROR(__xludf.DUMMYFUNCTION("""COMPUTED_VALUE"""),57.56)</f>
        <v>57.56</v>
      </c>
      <c r="C673" s="1">
        <f>IFERROR(__xludf.DUMMYFUNCTION("""COMPUTED_VALUE"""),57.72)</f>
        <v>57.72</v>
      </c>
      <c r="D673" s="1">
        <f>IFERROR(__xludf.DUMMYFUNCTION("""COMPUTED_VALUE"""),57.13)</f>
        <v>57.13</v>
      </c>
      <c r="E673" s="1">
        <f>IFERROR(__xludf.DUMMYFUNCTION("""COMPUTED_VALUE"""),57.38)</f>
        <v>57.38</v>
      </c>
      <c r="F673" s="1">
        <f>IFERROR(__xludf.DUMMYFUNCTION("""COMPUTED_VALUE"""),15954.0)</f>
        <v>15954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IFERROR(__xludf.DUMMYFUNCTION("""COMPUTED_VALUE"""),57.86)</f>
        <v>57.86</v>
      </c>
      <c r="C674" s="1">
        <f>IFERROR(__xludf.DUMMYFUNCTION("""COMPUTED_VALUE"""),57.86)</f>
        <v>57.86</v>
      </c>
      <c r="D674" s="1">
        <f>IFERROR(__xludf.DUMMYFUNCTION("""COMPUTED_VALUE"""),56.85)</f>
        <v>56.85</v>
      </c>
      <c r="E674" s="1">
        <f>IFERROR(__xludf.DUMMYFUNCTION("""COMPUTED_VALUE"""),57.1)</f>
        <v>57.1</v>
      </c>
      <c r="F674" s="1">
        <f>IFERROR(__xludf.DUMMYFUNCTION("""COMPUTED_VALUE"""),31368.0)</f>
        <v>31368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IFERROR(__xludf.DUMMYFUNCTION("""COMPUTED_VALUE"""),57.3)</f>
        <v>57.3</v>
      </c>
      <c r="C675" s="1">
        <f>IFERROR(__xludf.DUMMYFUNCTION("""COMPUTED_VALUE"""),57.41)</f>
        <v>57.41</v>
      </c>
      <c r="D675" s="1">
        <f>IFERROR(__xludf.DUMMYFUNCTION("""COMPUTED_VALUE"""),56.16)</f>
        <v>56.16</v>
      </c>
      <c r="E675" s="1">
        <f>IFERROR(__xludf.DUMMYFUNCTION("""COMPUTED_VALUE"""),57.09)</f>
        <v>57.09</v>
      </c>
      <c r="F675" s="1">
        <f>IFERROR(__xludf.DUMMYFUNCTION("""COMPUTED_VALUE"""),53293.0)</f>
        <v>53293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IFERROR(__xludf.DUMMYFUNCTION("""COMPUTED_VALUE"""),56.86)</f>
        <v>56.86</v>
      </c>
      <c r="C676" s="1">
        <f>IFERROR(__xludf.DUMMYFUNCTION("""COMPUTED_VALUE"""),57.96)</f>
        <v>57.96</v>
      </c>
      <c r="D676" s="1">
        <f>IFERROR(__xludf.DUMMYFUNCTION("""COMPUTED_VALUE"""),56.86)</f>
        <v>56.86</v>
      </c>
      <c r="E676" s="1">
        <f>IFERROR(__xludf.DUMMYFUNCTION("""COMPUTED_VALUE"""),57.71)</f>
        <v>57.71</v>
      </c>
      <c r="F676" s="1">
        <f>IFERROR(__xludf.DUMMYFUNCTION("""COMPUTED_VALUE"""),57679.0)</f>
        <v>57679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IFERROR(__xludf.DUMMYFUNCTION("""COMPUTED_VALUE"""),57.99)</f>
        <v>57.99</v>
      </c>
      <c r="C677" s="1">
        <f>IFERROR(__xludf.DUMMYFUNCTION("""COMPUTED_VALUE"""),58.5)</f>
        <v>58.5</v>
      </c>
      <c r="D677" s="1">
        <f>IFERROR(__xludf.DUMMYFUNCTION("""COMPUTED_VALUE"""),57.36)</f>
        <v>57.36</v>
      </c>
      <c r="E677" s="1">
        <f>IFERROR(__xludf.DUMMYFUNCTION("""COMPUTED_VALUE"""),57.51)</f>
        <v>57.51</v>
      </c>
      <c r="F677" s="1">
        <f>IFERROR(__xludf.DUMMYFUNCTION("""COMPUTED_VALUE"""),60574.0)</f>
        <v>60574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IFERROR(__xludf.DUMMYFUNCTION("""COMPUTED_VALUE"""),57.86)</f>
        <v>57.86</v>
      </c>
      <c r="C678" s="1">
        <f>IFERROR(__xludf.DUMMYFUNCTION("""COMPUTED_VALUE"""),58.05)</f>
        <v>58.05</v>
      </c>
      <c r="D678" s="1">
        <f>IFERROR(__xludf.DUMMYFUNCTION("""COMPUTED_VALUE"""),57.37)</f>
        <v>57.37</v>
      </c>
      <c r="E678" s="1">
        <f>IFERROR(__xludf.DUMMYFUNCTION("""COMPUTED_VALUE"""),57.55)</f>
        <v>57.55</v>
      </c>
      <c r="F678" s="1">
        <f>IFERROR(__xludf.DUMMYFUNCTION("""COMPUTED_VALUE"""),32472.0)</f>
        <v>32472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IFERROR(__xludf.DUMMYFUNCTION("""COMPUTED_VALUE"""),57.29)</f>
        <v>57.29</v>
      </c>
      <c r="C679" s="1">
        <f>IFERROR(__xludf.DUMMYFUNCTION("""COMPUTED_VALUE"""),57.84)</f>
        <v>57.84</v>
      </c>
      <c r="D679" s="1">
        <f>IFERROR(__xludf.DUMMYFUNCTION("""COMPUTED_VALUE"""),57.29)</f>
        <v>57.29</v>
      </c>
      <c r="E679" s="1">
        <f>IFERROR(__xludf.DUMMYFUNCTION("""COMPUTED_VALUE"""),57.48)</f>
        <v>57.48</v>
      </c>
      <c r="F679" s="1">
        <f>IFERROR(__xludf.DUMMYFUNCTION("""COMPUTED_VALUE"""),21218.0)</f>
        <v>21218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IFERROR(__xludf.DUMMYFUNCTION("""COMPUTED_VALUE"""),57.31)</f>
        <v>57.31</v>
      </c>
      <c r="C680" s="1">
        <f>IFERROR(__xludf.DUMMYFUNCTION("""COMPUTED_VALUE"""),57.52)</f>
        <v>57.52</v>
      </c>
      <c r="D680" s="1">
        <f>IFERROR(__xludf.DUMMYFUNCTION("""COMPUTED_VALUE"""),56.72)</f>
        <v>56.72</v>
      </c>
      <c r="E680" s="1">
        <f>IFERROR(__xludf.DUMMYFUNCTION("""COMPUTED_VALUE"""),57.1)</f>
        <v>57.1</v>
      </c>
      <c r="F680" s="1">
        <f>IFERROR(__xludf.DUMMYFUNCTION("""COMPUTED_VALUE"""),19674.0)</f>
        <v>19674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IFERROR(__xludf.DUMMYFUNCTION("""COMPUTED_VALUE"""),56.96)</f>
        <v>56.96</v>
      </c>
      <c r="C681" s="1">
        <f>IFERROR(__xludf.DUMMYFUNCTION("""COMPUTED_VALUE"""),57.69)</f>
        <v>57.69</v>
      </c>
      <c r="D681" s="1">
        <f>IFERROR(__xludf.DUMMYFUNCTION("""COMPUTED_VALUE"""),56.44)</f>
        <v>56.44</v>
      </c>
      <c r="E681" s="1">
        <f>IFERROR(__xludf.DUMMYFUNCTION("""COMPUTED_VALUE"""),57.11)</f>
        <v>57.11</v>
      </c>
      <c r="F681" s="1">
        <f>IFERROR(__xludf.DUMMYFUNCTION("""COMPUTED_VALUE"""),20441.0)</f>
        <v>20441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IFERROR(__xludf.DUMMYFUNCTION("""COMPUTED_VALUE"""),57.03)</f>
        <v>57.03</v>
      </c>
      <c r="C682" s="1">
        <f>IFERROR(__xludf.DUMMYFUNCTION("""COMPUTED_VALUE"""),58.27)</f>
        <v>58.27</v>
      </c>
      <c r="D682" s="1">
        <f>IFERROR(__xludf.DUMMYFUNCTION("""COMPUTED_VALUE"""),56.53)</f>
        <v>56.53</v>
      </c>
      <c r="E682" s="1">
        <f>IFERROR(__xludf.DUMMYFUNCTION("""COMPUTED_VALUE"""),57.99)</f>
        <v>57.99</v>
      </c>
      <c r="F682" s="1">
        <f>IFERROR(__xludf.DUMMYFUNCTION("""COMPUTED_VALUE"""),44858.0)</f>
        <v>44858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IFERROR(__xludf.DUMMYFUNCTION("""COMPUTED_VALUE"""),58.31)</f>
        <v>58.31</v>
      </c>
      <c r="C683" s="1">
        <f>IFERROR(__xludf.DUMMYFUNCTION("""COMPUTED_VALUE"""),58.31)</f>
        <v>58.31</v>
      </c>
      <c r="D683" s="1">
        <f>IFERROR(__xludf.DUMMYFUNCTION("""COMPUTED_VALUE"""),57.01)</f>
        <v>57.01</v>
      </c>
      <c r="E683" s="1">
        <f>IFERROR(__xludf.DUMMYFUNCTION("""COMPUTED_VALUE"""),57.74)</f>
        <v>57.74</v>
      </c>
      <c r="F683" s="1">
        <f>IFERROR(__xludf.DUMMYFUNCTION("""COMPUTED_VALUE"""),41858.0)</f>
        <v>41858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IFERROR(__xludf.DUMMYFUNCTION("""COMPUTED_VALUE"""),57.56)</f>
        <v>57.56</v>
      </c>
      <c r="C684" s="1">
        <f>IFERROR(__xludf.DUMMYFUNCTION("""COMPUTED_VALUE"""),58.1)</f>
        <v>58.1</v>
      </c>
      <c r="D684" s="1">
        <f>IFERROR(__xludf.DUMMYFUNCTION("""COMPUTED_VALUE"""),57.22)</f>
        <v>57.22</v>
      </c>
      <c r="E684" s="1">
        <f>IFERROR(__xludf.DUMMYFUNCTION("""COMPUTED_VALUE"""),57.46)</f>
        <v>57.46</v>
      </c>
      <c r="F684" s="1">
        <f>IFERROR(__xludf.DUMMYFUNCTION("""COMPUTED_VALUE"""),31101.0)</f>
        <v>31101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IFERROR(__xludf.DUMMYFUNCTION("""COMPUTED_VALUE"""),57.36)</f>
        <v>57.36</v>
      </c>
      <c r="C685" s="1">
        <f>IFERROR(__xludf.DUMMYFUNCTION("""COMPUTED_VALUE"""),58.11)</f>
        <v>58.11</v>
      </c>
      <c r="D685" s="1">
        <f>IFERROR(__xludf.DUMMYFUNCTION("""COMPUTED_VALUE"""),57.36)</f>
        <v>57.36</v>
      </c>
      <c r="E685" s="1">
        <f>IFERROR(__xludf.DUMMYFUNCTION("""COMPUTED_VALUE"""),58.08)</f>
        <v>58.08</v>
      </c>
      <c r="F685" s="1">
        <f>IFERROR(__xludf.DUMMYFUNCTION("""COMPUTED_VALUE"""),32070.0)</f>
        <v>32070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IFERROR(__xludf.DUMMYFUNCTION("""COMPUTED_VALUE"""),58.02)</f>
        <v>58.02</v>
      </c>
      <c r="C686" s="1">
        <f>IFERROR(__xludf.DUMMYFUNCTION("""COMPUTED_VALUE"""),58.31)</f>
        <v>58.31</v>
      </c>
      <c r="D686" s="1">
        <f>IFERROR(__xludf.DUMMYFUNCTION("""COMPUTED_VALUE"""),57.76)</f>
        <v>57.76</v>
      </c>
      <c r="E686" s="1">
        <f>IFERROR(__xludf.DUMMYFUNCTION("""COMPUTED_VALUE"""),57.91)</f>
        <v>57.91</v>
      </c>
      <c r="F686" s="1">
        <f>IFERROR(__xludf.DUMMYFUNCTION("""COMPUTED_VALUE"""),28068.0)</f>
        <v>28068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IFERROR(__xludf.DUMMYFUNCTION("""COMPUTED_VALUE"""),57.5)</f>
        <v>57.5</v>
      </c>
      <c r="C687" s="1">
        <f>IFERROR(__xludf.DUMMYFUNCTION("""COMPUTED_VALUE"""),58.62)</f>
        <v>58.62</v>
      </c>
      <c r="D687" s="1">
        <f>IFERROR(__xludf.DUMMYFUNCTION("""COMPUTED_VALUE"""),57.5)</f>
        <v>57.5</v>
      </c>
      <c r="E687" s="1">
        <f>IFERROR(__xludf.DUMMYFUNCTION("""COMPUTED_VALUE"""),58.44)</f>
        <v>58.44</v>
      </c>
      <c r="F687" s="1">
        <f>IFERROR(__xludf.DUMMYFUNCTION("""COMPUTED_VALUE"""),21755.0)</f>
        <v>21755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IFERROR(__xludf.DUMMYFUNCTION("""COMPUTED_VALUE"""),58.15)</f>
        <v>58.15</v>
      </c>
      <c r="C688" s="1">
        <f>IFERROR(__xludf.DUMMYFUNCTION("""COMPUTED_VALUE"""),58.23)</f>
        <v>58.23</v>
      </c>
      <c r="D688" s="1">
        <f>IFERROR(__xludf.DUMMYFUNCTION("""COMPUTED_VALUE"""),57.14)</f>
        <v>57.14</v>
      </c>
      <c r="E688" s="1">
        <f>IFERROR(__xludf.DUMMYFUNCTION("""COMPUTED_VALUE"""),57.24)</f>
        <v>57.24</v>
      </c>
      <c r="F688" s="1">
        <f>IFERROR(__xludf.DUMMYFUNCTION("""COMPUTED_VALUE"""),169217.0)</f>
        <v>169217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IFERROR(__xludf.DUMMYFUNCTION("""COMPUTED_VALUE"""),57.12)</f>
        <v>57.12</v>
      </c>
      <c r="C689" s="1">
        <f>IFERROR(__xludf.DUMMYFUNCTION("""COMPUTED_VALUE"""),58.09)</f>
        <v>58.09</v>
      </c>
      <c r="D689" s="1">
        <f>IFERROR(__xludf.DUMMYFUNCTION("""COMPUTED_VALUE"""),57.12)</f>
        <v>57.12</v>
      </c>
      <c r="E689" s="1">
        <f>IFERROR(__xludf.DUMMYFUNCTION("""COMPUTED_VALUE"""),58.04)</f>
        <v>58.04</v>
      </c>
      <c r="F689" s="1">
        <f>IFERROR(__xludf.DUMMYFUNCTION("""COMPUTED_VALUE"""),34205.0)</f>
        <v>34205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IFERROR(__xludf.DUMMYFUNCTION("""COMPUTED_VALUE"""),58.19)</f>
        <v>58.19</v>
      </c>
      <c r="C690" s="1">
        <f>IFERROR(__xludf.DUMMYFUNCTION("""COMPUTED_VALUE"""),58.19)</f>
        <v>58.19</v>
      </c>
      <c r="D690" s="1">
        <f>IFERROR(__xludf.DUMMYFUNCTION("""COMPUTED_VALUE"""),57.22)</f>
        <v>57.22</v>
      </c>
      <c r="E690" s="1">
        <f>IFERROR(__xludf.DUMMYFUNCTION("""COMPUTED_VALUE"""),57.43)</f>
        <v>57.43</v>
      </c>
      <c r="F690" s="1">
        <f>IFERROR(__xludf.DUMMYFUNCTION("""COMPUTED_VALUE"""),51848.0)</f>
        <v>51848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IFERROR(__xludf.DUMMYFUNCTION("""COMPUTED_VALUE"""),57.64)</f>
        <v>57.64</v>
      </c>
      <c r="C691" s="1">
        <f>IFERROR(__xludf.DUMMYFUNCTION("""COMPUTED_VALUE"""),57.72)</f>
        <v>57.72</v>
      </c>
      <c r="D691" s="1">
        <f>IFERROR(__xludf.DUMMYFUNCTION("""COMPUTED_VALUE"""),56.87)</f>
        <v>56.87</v>
      </c>
      <c r="E691" s="1">
        <f>IFERROR(__xludf.DUMMYFUNCTION("""COMPUTED_VALUE"""),57.1)</f>
        <v>57.1</v>
      </c>
      <c r="F691" s="1">
        <f>IFERROR(__xludf.DUMMYFUNCTION("""COMPUTED_VALUE"""),32087.0)</f>
        <v>32087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IFERROR(__xludf.DUMMYFUNCTION("""COMPUTED_VALUE"""),57.25)</f>
        <v>57.25</v>
      </c>
      <c r="C692" s="1">
        <f>IFERROR(__xludf.DUMMYFUNCTION("""COMPUTED_VALUE"""),57.93)</f>
        <v>57.93</v>
      </c>
      <c r="D692" s="1">
        <f>IFERROR(__xludf.DUMMYFUNCTION("""COMPUTED_VALUE"""),57.07)</f>
        <v>57.07</v>
      </c>
      <c r="E692" s="1">
        <f>IFERROR(__xludf.DUMMYFUNCTION("""COMPUTED_VALUE"""),57.48)</f>
        <v>57.48</v>
      </c>
      <c r="F692" s="1">
        <f>IFERROR(__xludf.DUMMYFUNCTION("""COMPUTED_VALUE"""),37043.0)</f>
        <v>37043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IFERROR(__xludf.DUMMYFUNCTION("""COMPUTED_VALUE"""),57.14)</f>
        <v>57.14</v>
      </c>
      <c r="C693" s="1">
        <f>IFERROR(__xludf.DUMMYFUNCTION("""COMPUTED_VALUE"""),58.07)</f>
        <v>58.07</v>
      </c>
      <c r="D693" s="1">
        <f>IFERROR(__xludf.DUMMYFUNCTION("""COMPUTED_VALUE"""),57.05)</f>
        <v>57.05</v>
      </c>
      <c r="E693" s="1">
        <f>IFERROR(__xludf.DUMMYFUNCTION("""COMPUTED_VALUE"""),57.33)</f>
        <v>57.33</v>
      </c>
      <c r="F693" s="1">
        <f>IFERROR(__xludf.DUMMYFUNCTION("""COMPUTED_VALUE"""),37349.0)</f>
        <v>37349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IFERROR(__xludf.DUMMYFUNCTION("""COMPUTED_VALUE"""),57.74)</f>
        <v>57.74</v>
      </c>
      <c r="C694" s="1">
        <f>IFERROR(__xludf.DUMMYFUNCTION("""COMPUTED_VALUE"""),58.15)</f>
        <v>58.15</v>
      </c>
      <c r="D694" s="1">
        <f>IFERROR(__xludf.DUMMYFUNCTION("""COMPUTED_VALUE"""),57.06)</f>
        <v>57.06</v>
      </c>
      <c r="E694" s="1">
        <f>IFERROR(__xludf.DUMMYFUNCTION("""COMPUTED_VALUE"""),58.02)</f>
        <v>58.02</v>
      </c>
      <c r="F694" s="1">
        <f>IFERROR(__xludf.DUMMYFUNCTION("""COMPUTED_VALUE"""),42442.0)</f>
        <v>42442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IFERROR(__xludf.DUMMYFUNCTION("""COMPUTED_VALUE"""),58.25)</f>
        <v>58.25</v>
      </c>
      <c r="C695" s="1">
        <f>IFERROR(__xludf.DUMMYFUNCTION("""COMPUTED_VALUE"""),58.25)</f>
        <v>58.25</v>
      </c>
      <c r="D695" s="1">
        <f>IFERROR(__xludf.DUMMYFUNCTION("""COMPUTED_VALUE"""),57.63)</f>
        <v>57.63</v>
      </c>
      <c r="E695" s="1">
        <f>IFERROR(__xludf.DUMMYFUNCTION("""COMPUTED_VALUE"""),57.92)</f>
        <v>57.92</v>
      </c>
      <c r="F695" s="1">
        <f>IFERROR(__xludf.DUMMYFUNCTION("""COMPUTED_VALUE"""),27960.0)</f>
        <v>27960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IFERROR(__xludf.DUMMYFUNCTION("""COMPUTED_VALUE"""),58.17)</f>
        <v>58.17</v>
      </c>
      <c r="C696" s="1">
        <f>IFERROR(__xludf.DUMMYFUNCTION("""COMPUTED_VALUE"""),58.18)</f>
        <v>58.18</v>
      </c>
      <c r="D696" s="1">
        <f>IFERROR(__xludf.DUMMYFUNCTION("""COMPUTED_VALUE"""),56.77)</f>
        <v>56.77</v>
      </c>
      <c r="E696" s="1">
        <f>IFERROR(__xludf.DUMMYFUNCTION("""COMPUTED_VALUE"""),57.47)</f>
        <v>57.47</v>
      </c>
      <c r="F696" s="1">
        <f>IFERROR(__xludf.DUMMYFUNCTION("""COMPUTED_VALUE"""),20883.0)</f>
        <v>20883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IFERROR(__xludf.DUMMYFUNCTION("""COMPUTED_VALUE"""),57.74)</f>
        <v>57.74</v>
      </c>
      <c r="C697" s="1">
        <f>IFERROR(__xludf.DUMMYFUNCTION("""COMPUTED_VALUE"""),58.05)</f>
        <v>58.05</v>
      </c>
      <c r="D697" s="1">
        <f>IFERROR(__xludf.DUMMYFUNCTION("""COMPUTED_VALUE"""),57.25)</f>
        <v>57.25</v>
      </c>
      <c r="E697" s="1">
        <f>IFERROR(__xludf.DUMMYFUNCTION("""COMPUTED_VALUE"""),57.95)</f>
        <v>57.95</v>
      </c>
      <c r="F697" s="1">
        <f>IFERROR(__xludf.DUMMYFUNCTION("""COMPUTED_VALUE"""),27497.0)</f>
        <v>27497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IFERROR(__xludf.DUMMYFUNCTION("""COMPUTED_VALUE"""),58.11)</f>
        <v>58.11</v>
      </c>
      <c r="C698" s="1">
        <f>IFERROR(__xludf.DUMMYFUNCTION("""COMPUTED_VALUE"""),58.22)</f>
        <v>58.22</v>
      </c>
      <c r="D698" s="1">
        <f>IFERROR(__xludf.DUMMYFUNCTION("""COMPUTED_VALUE"""),57.28)</f>
        <v>57.28</v>
      </c>
      <c r="E698" s="1">
        <f>IFERROR(__xludf.DUMMYFUNCTION("""COMPUTED_VALUE"""),57.32)</f>
        <v>57.32</v>
      </c>
      <c r="F698" s="1">
        <f>IFERROR(__xludf.DUMMYFUNCTION("""COMPUTED_VALUE"""),33146.0)</f>
        <v>33146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IFERROR(__xludf.DUMMYFUNCTION("""COMPUTED_VALUE"""),57.29)</f>
        <v>57.29</v>
      </c>
      <c r="C699" s="1">
        <f>IFERROR(__xludf.DUMMYFUNCTION("""COMPUTED_VALUE"""),58.03)</f>
        <v>58.03</v>
      </c>
      <c r="D699" s="1">
        <f>IFERROR(__xludf.DUMMYFUNCTION("""COMPUTED_VALUE"""),57.26)</f>
        <v>57.26</v>
      </c>
      <c r="E699" s="1">
        <f>IFERROR(__xludf.DUMMYFUNCTION("""COMPUTED_VALUE"""),57.41)</f>
        <v>57.41</v>
      </c>
      <c r="F699" s="1">
        <f>IFERROR(__xludf.DUMMYFUNCTION("""COMPUTED_VALUE"""),10262.0)</f>
        <v>10262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IFERROR(__xludf.DUMMYFUNCTION("""COMPUTED_VALUE"""),57.52)</f>
        <v>57.52</v>
      </c>
      <c r="C700" s="1">
        <f>IFERROR(__xludf.DUMMYFUNCTION("""COMPUTED_VALUE"""),57.52)</f>
        <v>57.52</v>
      </c>
      <c r="D700" s="1">
        <f>IFERROR(__xludf.DUMMYFUNCTION("""COMPUTED_VALUE"""),56.81)</f>
        <v>56.81</v>
      </c>
      <c r="E700" s="1">
        <f>IFERROR(__xludf.DUMMYFUNCTION("""COMPUTED_VALUE"""),56.95)</f>
        <v>56.95</v>
      </c>
      <c r="F700" s="1">
        <f>IFERROR(__xludf.DUMMYFUNCTION("""COMPUTED_VALUE"""),18406.0)</f>
        <v>18406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IFERROR(__xludf.DUMMYFUNCTION("""COMPUTED_VALUE"""),56.88)</f>
        <v>56.88</v>
      </c>
      <c r="C701" s="1">
        <f>IFERROR(__xludf.DUMMYFUNCTION("""COMPUTED_VALUE"""),57.67)</f>
        <v>57.67</v>
      </c>
      <c r="D701" s="1">
        <f>IFERROR(__xludf.DUMMYFUNCTION("""COMPUTED_VALUE"""),56.87)</f>
        <v>56.87</v>
      </c>
      <c r="E701" s="1">
        <f>IFERROR(__xludf.DUMMYFUNCTION("""COMPUTED_VALUE"""),57.6)</f>
        <v>57.6</v>
      </c>
      <c r="F701" s="1">
        <f>IFERROR(__xludf.DUMMYFUNCTION("""COMPUTED_VALUE"""),17981.0)</f>
        <v>17981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IFERROR(__xludf.DUMMYFUNCTION("""COMPUTED_VALUE"""),58.14)</f>
        <v>58.14</v>
      </c>
      <c r="C702" s="1">
        <f>IFERROR(__xludf.DUMMYFUNCTION("""COMPUTED_VALUE"""),58.23)</f>
        <v>58.23</v>
      </c>
      <c r="D702" s="1">
        <f>IFERROR(__xludf.DUMMYFUNCTION("""COMPUTED_VALUE"""),57.07)</f>
        <v>57.07</v>
      </c>
      <c r="E702" s="1">
        <f>IFERROR(__xludf.DUMMYFUNCTION("""COMPUTED_VALUE"""),57.15)</f>
        <v>57.15</v>
      </c>
      <c r="F702" s="1">
        <f>IFERROR(__xludf.DUMMYFUNCTION("""COMPUTED_VALUE"""),18017.0)</f>
        <v>18017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IFERROR(__xludf.DUMMYFUNCTION("""COMPUTED_VALUE"""),57.06)</f>
        <v>57.06</v>
      </c>
      <c r="C703" s="1">
        <f>IFERROR(__xludf.DUMMYFUNCTION("""COMPUTED_VALUE"""),57.33)</f>
        <v>57.33</v>
      </c>
      <c r="D703" s="1">
        <f>IFERROR(__xludf.DUMMYFUNCTION("""COMPUTED_VALUE"""),56.5)</f>
        <v>56.5</v>
      </c>
      <c r="E703" s="1">
        <f>IFERROR(__xludf.DUMMYFUNCTION("""COMPUTED_VALUE"""),56.86)</f>
        <v>56.86</v>
      </c>
      <c r="F703" s="1">
        <f>IFERROR(__xludf.DUMMYFUNCTION("""COMPUTED_VALUE"""),22268.0)</f>
        <v>22268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IFERROR(__xludf.DUMMYFUNCTION("""COMPUTED_VALUE"""),56.92)</f>
        <v>56.92</v>
      </c>
      <c r="C704" s="1">
        <f>IFERROR(__xludf.DUMMYFUNCTION("""COMPUTED_VALUE"""),57.53)</f>
        <v>57.53</v>
      </c>
      <c r="D704" s="1">
        <f>IFERROR(__xludf.DUMMYFUNCTION("""COMPUTED_VALUE"""),56.73)</f>
        <v>56.73</v>
      </c>
      <c r="E704" s="1">
        <f>IFERROR(__xludf.DUMMYFUNCTION("""COMPUTED_VALUE"""),57.48)</f>
        <v>57.48</v>
      </c>
      <c r="F704" s="1">
        <f>IFERROR(__xludf.DUMMYFUNCTION("""COMPUTED_VALUE"""),26229.0)</f>
        <v>26229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IFERROR(__xludf.DUMMYFUNCTION("""COMPUTED_VALUE"""),57.63)</f>
        <v>57.63</v>
      </c>
      <c r="C705" s="1">
        <f>IFERROR(__xludf.DUMMYFUNCTION("""COMPUTED_VALUE"""),57.72)</f>
        <v>57.72</v>
      </c>
      <c r="D705" s="1">
        <f>IFERROR(__xludf.DUMMYFUNCTION("""COMPUTED_VALUE"""),57.09)</f>
        <v>57.09</v>
      </c>
      <c r="E705" s="1">
        <f>IFERROR(__xludf.DUMMYFUNCTION("""COMPUTED_VALUE"""),57.59)</f>
        <v>57.59</v>
      </c>
      <c r="F705" s="1">
        <f>IFERROR(__xludf.DUMMYFUNCTION("""COMPUTED_VALUE"""),22279.0)</f>
        <v>22279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IFERROR(__xludf.DUMMYFUNCTION("""COMPUTED_VALUE"""),57.53)</f>
        <v>57.53</v>
      </c>
      <c r="C706" s="1">
        <f>IFERROR(__xludf.DUMMYFUNCTION("""COMPUTED_VALUE"""),58.13)</f>
        <v>58.13</v>
      </c>
      <c r="D706" s="1">
        <f>IFERROR(__xludf.DUMMYFUNCTION("""COMPUTED_VALUE"""),57.29)</f>
        <v>57.29</v>
      </c>
      <c r="E706" s="1">
        <f>IFERROR(__xludf.DUMMYFUNCTION("""COMPUTED_VALUE"""),58.05)</f>
        <v>58.05</v>
      </c>
      <c r="F706" s="1">
        <f>IFERROR(__xludf.DUMMYFUNCTION("""COMPUTED_VALUE"""),29112.0)</f>
        <v>29112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IFERROR(__xludf.DUMMYFUNCTION("""COMPUTED_VALUE"""),57.95)</f>
        <v>57.95</v>
      </c>
      <c r="C707" s="1">
        <f>IFERROR(__xludf.DUMMYFUNCTION("""COMPUTED_VALUE"""),58.43)</f>
        <v>58.43</v>
      </c>
      <c r="D707" s="1">
        <f>IFERROR(__xludf.DUMMYFUNCTION("""COMPUTED_VALUE"""),57.41)</f>
        <v>57.41</v>
      </c>
      <c r="E707" s="1">
        <f>IFERROR(__xludf.DUMMYFUNCTION("""COMPUTED_VALUE"""),57.64)</f>
        <v>57.64</v>
      </c>
      <c r="F707" s="1">
        <f>IFERROR(__xludf.DUMMYFUNCTION("""COMPUTED_VALUE"""),22648.0)</f>
        <v>22648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IFERROR(__xludf.DUMMYFUNCTION("""COMPUTED_VALUE"""),57.48)</f>
        <v>57.48</v>
      </c>
      <c r="C708" s="1">
        <f>IFERROR(__xludf.DUMMYFUNCTION("""COMPUTED_VALUE"""),57.5)</f>
        <v>57.5</v>
      </c>
      <c r="D708" s="1">
        <f>IFERROR(__xludf.DUMMYFUNCTION("""COMPUTED_VALUE"""),56.53)</f>
        <v>56.53</v>
      </c>
      <c r="E708" s="1">
        <f>IFERROR(__xludf.DUMMYFUNCTION("""COMPUTED_VALUE"""),56.86)</f>
        <v>56.86</v>
      </c>
      <c r="F708" s="1">
        <f>IFERROR(__xludf.DUMMYFUNCTION("""COMPUTED_VALUE"""),49635.0)</f>
        <v>49635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IFERROR(__xludf.DUMMYFUNCTION("""COMPUTED_VALUE"""),56.91)</f>
        <v>56.91</v>
      </c>
      <c r="C709" s="1">
        <f>IFERROR(__xludf.DUMMYFUNCTION("""COMPUTED_VALUE"""),57.25)</f>
        <v>57.25</v>
      </c>
      <c r="D709" s="1">
        <f>IFERROR(__xludf.DUMMYFUNCTION("""COMPUTED_VALUE"""),56.81)</f>
        <v>56.81</v>
      </c>
      <c r="E709" s="1">
        <f>IFERROR(__xludf.DUMMYFUNCTION("""COMPUTED_VALUE"""),57.03)</f>
        <v>57.03</v>
      </c>
      <c r="F709" s="1">
        <f>IFERROR(__xludf.DUMMYFUNCTION("""COMPUTED_VALUE"""),27721.0)</f>
        <v>27721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IFERROR(__xludf.DUMMYFUNCTION("""COMPUTED_VALUE"""),56.8)</f>
        <v>56.8</v>
      </c>
      <c r="C710" s="1">
        <f>IFERROR(__xludf.DUMMYFUNCTION("""COMPUTED_VALUE"""),57.06)</f>
        <v>57.06</v>
      </c>
      <c r="D710" s="1">
        <f>IFERROR(__xludf.DUMMYFUNCTION("""COMPUTED_VALUE"""),56.67)</f>
        <v>56.67</v>
      </c>
      <c r="E710" s="1">
        <f>IFERROR(__xludf.DUMMYFUNCTION("""COMPUTED_VALUE"""),56.89)</f>
        <v>56.89</v>
      </c>
      <c r="F710" s="1">
        <f>IFERROR(__xludf.DUMMYFUNCTION("""COMPUTED_VALUE"""),15969.0)</f>
        <v>15969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IFERROR(__xludf.DUMMYFUNCTION("""COMPUTED_VALUE"""),56.98)</f>
        <v>56.98</v>
      </c>
      <c r="C711" s="1">
        <f>IFERROR(__xludf.DUMMYFUNCTION("""COMPUTED_VALUE"""),57.16)</f>
        <v>57.16</v>
      </c>
      <c r="D711" s="1">
        <f>IFERROR(__xludf.DUMMYFUNCTION("""COMPUTED_VALUE"""),56.04)</f>
        <v>56.04</v>
      </c>
      <c r="E711" s="1">
        <f>IFERROR(__xludf.DUMMYFUNCTION("""COMPUTED_VALUE"""),56.37)</f>
        <v>56.37</v>
      </c>
      <c r="F711" s="1">
        <f>IFERROR(__xludf.DUMMYFUNCTION("""COMPUTED_VALUE"""),27072.0)</f>
        <v>27072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IFERROR(__xludf.DUMMYFUNCTION("""COMPUTED_VALUE"""),56.61)</f>
        <v>56.61</v>
      </c>
      <c r="C712" s="1">
        <f>IFERROR(__xludf.DUMMYFUNCTION("""COMPUTED_VALUE"""),57.38)</f>
        <v>57.38</v>
      </c>
      <c r="D712" s="1">
        <f>IFERROR(__xludf.DUMMYFUNCTION("""COMPUTED_VALUE"""),56.51)</f>
        <v>56.51</v>
      </c>
      <c r="E712" s="1">
        <f>IFERROR(__xludf.DUMMYFUNCTION("""COMPUTED_VALUE"""),57.19)</f>
        <v>57.19</v>
      </c>
      <c r="F712" s="1">
        <f>IFERROR(__xludf.DUMMYFUNCTION("""COMPUTED_VALUE"""),9671.0)</f>
        <v>9671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IFERROR(__xludf.DUMMYFUNCTION("""COMPUTED_VALUE"""),57.19)</f>
        <v>57.19</v>
      </c>
      <c r="C713" s="1">
        <f>IFERROR(__xludf.DUMMYFUNCTION("""COMPUTED_VALUE"""),57.19)</f>
        <v>57.19</v>
      </c>
      <c r="D713" s="1">
        <f>IFERROR(__xludf.DUMMYFUNCTION("""COMPUTED_VALUE"""),56.18)</f>
        <v>56.18</v>
      </c>
      <c r="E713" s="1">
        <f>IFERROR(__xludf.DUMMYFUNCTION("""COMPUTED_VALUE"""),56.93)</f>
        <v>56.93</v>
      </c>
      <c r="F713" s="1">
        <f>IFERROR(__xludf.DUMMYFUNCTION("""COMPUTED_VALUE"""),14841.0)</f>
        <v>14841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IFERROR(__xludf.DUMMYFUNCTION("""COMPUTED_VALUE"""),57.01)</f>
        <v>57.01</v>
      </c>
      <c r="C714" s="1">
        <f>IFERROR(__xludf.DUMMYFUNCTION("""COMPUTED_VALUE"""),57.4)</f>
        <v>57.4</v>
      </c>
      <c r="D714" s="1">
        <f>IFERROR(__xludf.DUMMYFUNCTION("""COMPUTED_VALUE"""),56.51)</f>
        <v>56.51</v>
      </c>
      <c r="E714" s="1">
        <f>IFERROR(__xludf.DUMMYFUNCTION("""COMPUTED_VALUE"""),57.27)</f>
        <v>57.27</v>
      </c>
      <c r="F714" s="1">
        <f>IFERROR(__xludf.DUMMYFUNCTION("""COMPUTED_VALUE"""),17421.0)</f>
        <v>17421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IFERROR(__xludf.DUMMYFUNCTION("""COMPUTED_VALUE"""),57.37)</f>
        <v>57.37</v>
      </c>
      <c r="C715" s="1">
        <f>IFERROR(__xludf.DUMMYFUNCTION("""COMPUTED_VALUE"""),58.37)</f>
        <v>58.37</v>
      </c>
      <c r="D715" s="1">
        <f>IFERROR(__xludf.DUMMYFUNCTION("""COMPUTED_VALUE"""),56.79)</f>
        <v>56.79</v>
      </c>
      <c r="E715" s="1">
        <f>IFERROR(__xludf.DUMMYFUNCTION("""COMPUTED_VALUE"""),58.0)</f>
        <v>58</v>
      </c>
      <c r="F715" s="1">
        <f>IFERROR(__xludf.DUMMYFUNCTION("""COMPUTED_VALUE"""),68451.0)</f>
        <v>68451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IFERROR(__xludf.DUMMYFUNCTION("""COMPUTED_VALUE"""),58.18)</f>
        <v>58.18</v>
      </c>
      <c r="C716" s="1">
        <f>IFERROR(__xludf.DUMMYFUNCTION("""COMPUTED_VALUE"""),58.65)</f>
        <v>58.65</v>
      </c>
      <c r="D716" s="1">
        <f>IFERROR(__xludf.DUMMYFUNCTION("""COMPUTED_VALUE"""),56.75)</f>
        <v>56.75</v>
      </c>
      <c r="E716" s="1">
        <f>IFERROR(__xludf.DUMMYFUNCTION("""COMPUTED_VALUE"""),56.76)</f>
        <v>56.76</v>
      </c>
      <c r="F716" s="1">
        <f>IFERROR(__xludf.DUMMYFUNCTION("""COMPUTED_VALUE"""),39999.0)</f>
        <v>39999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IFERROR(__xludf.DUMMYFUNCTION("""COMPUTED_VALUE"""),56.93)</f>
        <v>56.93</v>
      </c>
      <c r="C717" s="1">
        <f>IFERROR(__xludf.DUMMYFUNCTION("""COMPUTED_VALUE"""),57.29)</f>
        <v>57.29</v>
      </c>
      <c r="D717" s="1">
        <f>IFERROR(__xludf.DUMMYFUNCTION("""COMPUTED_VALUE"""),56.23)</f>
        <v>56.23</v>
      </c>
      <c r="E717" s="1">
        <f>IFERROR(__xludf.DUMMYFUNCTION("""COMPUTED_VALUE"""),56.37)</f>
        <v>56.37</v>
      </c>
      <c r="F717" s="1">
        <f>IFERROR(__xludf.DUMMYFUNCTION("""COMPUTED_VALUE"""),41998.0)</f>
        <v>41998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IFERROR(__xludf.DUMMYFUNCTION("""COMPUTED_VALUE"""),56.44)</f>
        <v>56.44</v>
      </c>
      <c r="C718" s="1">
        <f>IFERROR(__xludf.DUMMYFUNCTION("""COMPUTED_VALUE"""),57.46)</f>
        <v>57.46</v>
      </c>
      <c r="D718" s="1">
        <f>IFERROR(__xludf.DUMMYFUNCTION("""COMPUTED_VALUE"""),56.09)</f>
        <v>56.09</v>
      </c>
      <c r="E718" s="1">
        <f>IFERROR(__xludf.DUMMYFUNCTION("""COMPUTED_VALUE"""),57.22)</f>
        <v>57.22</v>
      </c>
      <c r="F718" s="1">
        <f>IFERROR(__xludf.DUMMYFUNCTION("""COMPUTED_VALUE"""),29123.0)</f>
        <v>29123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IFERROR(__xludf.DUMMYFUNCTION("""COMPUTED_VALUE"""),56.62)</f>
        <v>56.62</v>
      </c>
      <c r="C719" s="1">
        <f>IFERROR(__xludf.DUMMYFUNCTION("""COMPUTED_VALUE"""),57.41)</f>
        <v>57.41</v>
      </c>
      <c r="D719" s="1">
        <f>IFERROR(__xludf.DUMMYFUNCTION("""COMPUTED_VALUE"""),56.32)</f>
        <v>56.32</v>
      </c>
      <c r="E719" s="1">
        <f>IFERROR(__xludf.DUMMYFUNCTION("""COMPUTED_VALUE"""),57.03)</f>
        <v>57.03</v>
      </c>
      <c r="F719" s="1">
        <f>IFERROR(__xludf.DUMMYFUNCTION("""COMPUTED_VALUE"""),56851.0)</f>
        <v>56851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IFERROR(__xludf.DUMMYFUNCTION("""COMPUTED_VALUE"""),57.03)</f>
        <v>57.03</v>
      </c>
      <c r="C720" s="1">
        <f>IFERROR(__xludf.DUMMYFUNCTION("""COMPUTED_VALUE"""),57.18)</f>
        <v>57.18</v>
      </c>
      <c r="D720" s="1">
        <f>IFERROR(__xludf.DUMMYFUNCTION("""COMPUTED_VALUE"""),55.96)</f>
        <v>55.96</v>
      </c>
      <c r="E720" s="1">
        <f>IFERROR(__xludf.DUMMYFUNCTION("""COMPUTED_VALUE"""),56.06)</f>
        <v>56.06</v>
      </c>
      <c r="F720" s="1">
        <f>IFERROR(__xludf.DUMMYFUNCTION("""COMPUTED_VALUE"""),33159.0)</f>
        <v>33159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IFERROR(__xludf.DUMMYFUNCTION("""COMPUTED_VALUE"""),56.49)</f>
        <v>56.49</v>
      </c>
      <c r="C721" s="1">
        <f>IFERROR(__xludf.DUMMYFUNCTION("""COMPUTED_VALUE"""),58.6)</f>
        <v>58.6</v>
      </c>
      <c r="D721" s="1">
        <f>IFERROR(__xludf.DUMMYFUNCTION("""COMPUTED_VALUE"""),56.43)</f>
        <v>56.43</v>
      </c>
      <c r="E721" s="1">
        <f>IFERROR(__xludf.DUMMYFUNCTION("""COMPUTED_VALUE"""),58.25)</f>
        <v>58.25</v>
      </c>
      <c r="F721" s="1">
        <f>IFERROR(__xludf.DUMMYFUNCTION("""COMPUTED_VALUE"""),87217.0)</f>
        <v>87217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IFERROR(__xludf.DUMMYFUNCTION("""COMPUTED_VALUE"""),58.28)</f>
        <v>58.28</v>
      </c>
      <c r="C722" s="1">
        <f>IFERROR(__xludf.DUMMYFUNCTION("""COMPUTED_VALUE"""),59.1)</f>
        <v>59.1</v>
      </c>
      <c r="D722" s="1">
        <f>IFERROR(__xludf.DUMMYFUNCTION("""COMPUTED_VALUE"""),58.28)</f>
        <v>58.28</v>
      </c>
      <c r="E722" s="1">
        <f>IFERROR(__xludf.DUMMYFUNCTION("""COMPUTED_VALUE"""),58.99)</f>
        <v>58.99</v>
      </c>
      <c r="F722" s="1">
        <f>IFERROR(__xludf.DUMMYFUNCTION("""COMPUTED_VALUE"""),60512.0)</f>
        <v>60512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IFERROR(__xludf.DUMMYFUNCTION("""COMPUTED_VALUE"""),58.69)</f>
        <v>58.69</v>
      </c>
      <c r="C723" s="1">
        <f>IFERROR(__xludf.DUMMYFUNCTION("""COMPUTED_VALUE"""),60.31)</f>
        <v>60.31</v>
      </c>
      <c r="D723" s="1">
        <f>IFERROR(__xludf.DUMMYFUNCTION("""COMPUTED_VALUE"""),58.69)</f>
        <v>58.69</v>
      </c>
      <c r="E723" s="1">
        <f>IFERROR(__xludf.DUMMYFUNCTION("""COMPUTED_VALUE"""),59.53)</f>
        <v>59.53</v>
      </c>
      <c r="F723" s="1">
        <f>IFERROR(__xludf.DUMMYFUNCTION("""COMPUTED_VALUE"""),50819.0)</f>
        <v>50819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IFERROR(__xludf.DUMMYFUNCTION("""COMPUTED_VALUE"""),59.65)</f>
        <v>59.65</v>
      </c>
      <c r="C724" s="1">
        <f>IFERROR(__xludf.DUMMYFUNCTION("""COMPUTED_VALUE"""),60.25)</f>
        <v>60.25</v>
      </c>
      <c r="D724" s="1">
        <f>IFERROR(__xludf.DUMMYFUNCTION("""COMPUTED_VALUE"""),58.35)</f>
        <v>58.35</v>
      </c>
      <c r="E724" s="1">
        <f>IFERROR(__xludf.DUMMYFUNCTION("""COMPUTED_VALUE"""),58.48)</f>
        <v>58.48</v>
      </c>
      <c r="F724" s="1">
        <f>IFERROR(__xludf.DUMMYFUNCTION("""COMPUTED_VALUE"""),33087.0)</f>
        <v>33087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IFERROR(__xludf.DUMMYFUNCTION("""COMPUTED_VALUE"""),58.32)</f>
        <v>58.32</v>
      </c>
      <c r="C725" s="1">
        <f>IFERROR(__xludf.DUMMYFUNCTION("""COMPUTED_VALUE"""),58.75)</f>
        <v>58.75</v>
      </c>
      <c r="D725" s="1">
        <f>IFERROR(__xludf.DUMMYFUNCTION("""COMPUTED_VALUE"""),57.28)</f>
        <v>57.28</v>
      </c>
      <c r="E725" s="1">
        <f>IFERROR(__xludf.DUMMYFUNCTION("""COMPUTED_VALUE"""),57.72)</f>
        <v>57.72</v>
      </c>
      <c r="F725" s="1">
        <f>IFERROR(__xludf.DUMMYFUNCTION("""COMPUTED_VALUE"""),56137.0)</f>
        <v>56137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IFERROR(__xludf.DUMMYFUNCTION("""COMPUTED_VALUE"""),57.58)</f>
        <v>57.58</v>
      </c>
      <c r="C726" s="1">
        <f>IFERROR(__xludf.DUMMYFUNCTION("""COMPUTED_VALUE"""),58.22)</f>
        <v>58.22</v>
      </c>
      <c r="D726" s="1">
        <f>IFERROR(__xludf.DUMMYFUNCTION("""COMPUTED_VALUE"""),57.43)</f>
        <v>57.43</v>
      </c>
      <c r="E726" s="1">
        <f>IFERROR(__xludf.DUMMYFUNCTION("""COMPUTED_VALUE"""),58.05)</f>
        <v>58.05</v>
      </c>
      <c r="F726" s="1">
        <f>IFERROR(__xludf.DUMMYFUNCTION("""COMPUTED_VALUE"""),43406.0)</f>
        <v>43406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IFERROR(__xludf.DUMMYFUNCTION("""COMPUTED_VALUE"""),58.68)</f>
        <v>58.68</v>
      </c>
      <c r="C727" s="1">
        <f>IFERROR(__xludf.DUMMYFUNCTION("""COMPUTED_VALUE"""),60.55)</f>
        <v>60.55</v>
      </c>
      <c r="D727" s="1">
        <f>IFERROR(__xludf.DUMMYFUNCTION("""COMPUTED_VALUE"""),58.19)</f>
        <v>58.19</v>
      </c>
      <c r="E727" s="1">
        <f>IFERROR(__xludf.DUMMYFUNCTION("""COMPUTED_VALUE"""),60.46)</f>
        <v>60.46</v>
      </c>
      <c r="F727" s="1">
        <f>IFERROR(__xludf.DUMMYFUNCTION("""COMPUTED_VALUE"""),65084.0)</f>
        <v>65084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IFERROR(__xludf.DUMMYFUNCTION("""COMPUTED_VALUE"""),60.18)</f>
        <v>60.18</v>
      </c>
      <c r="C728" s="1">
        <f>IFERROR(__xludf.DUMMYFUNCTION("""COMPUTED_VALUE"""),60.9)</f>
        <v>60.9</v>
      </c>
      <c r="D728" s="1">
        <f>IFERROR(__xludf.DUMMYFUNCTION("""COMPUTED_VALUE"""),59.81)</f>
        <v>59.81</v>
      </c>
      <c r="E728" s="1">
        <f>IFERROR(__xludf.DUMMYFUNCTION("""COMPUTED_VALUE"""),60.8)</f>
        <v>60.8</v>
      </c>
      <c r="F728" s="1">
        <f>IFERROR(__xludf.DUMMYFUNCTION("""COMPUTED_VALUE"""),78192.0)</f>
        <v>78192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IFERROR(__xludf.DUMMYFUNCTION("""COMPUTED_VALUE"""),60.84)</f>
        <v>60.84</v>
      </c>
      <c r="C729" s="1">
        <f>IFERROR(__xludf.DUMMYFUNCTION("""COMPUTED_VALUE"""),61.3)</f>
        <v>61.3</v>
      </c>
      <c r="D729" s="1">
        <f>IFERROR(__xludf.DUMMYFUNCTION("""COMPUTED_VALUE"""),60.37)</f>
        <v>60.37</v>
      </c>
      <c r="E729" s="1">
        <f>IFERROR(__xludf.DUMMYFUNCTION("""COMPUTED_VALUE"""),61.13)</f>
        <v>61.13</v>
      </c>
      <c r="F729" s="1">
        <f>IFERROR(__xludf.DUMMYFUNCTION("""COMPUTED_VALUE"""),58173.0)</f>
        <v>58173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IFERROR(__xludf.DUMMYFUNCTION("""COMPUTED_VALUE"""),61.3)</f>
        <v>61.3</v>
      </c>
      <c r="C730" s="1">
        <f>IFERROR(__xludf.DUMMYFUNCTION("""COMPUTED_VALUE"""),61.3)</f>
        <v>61.3</v>
      </c>
      <c r="D730" s="1">
        <f>IFERROR(__xludf.DUMMYFUNCTION("""COMPUTED_VALUE"""),60.79)</f>
        <v>60.79</v>
      </c>
      <c r="E730" s="1">
        <f>IFERROR(__xludf.DUMMYFUNCTION("""COMPUTED_VALUE"""),61.3)</f>
        <v>61.3</v>
      </c>
      <c r="F730" s="1">
        <f>IFERROR(__xludf.DUMMYFUNCTION("""COMPUTED_VALUE"""),48108.0)</f>
        <v>48108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IFERROR(__xludf.DUMMYFUNCTION("""COMPUTED_VALUE"""),61.06)</f>
        <v>61.06</v>
      </c>
      <c r="C731" s="1">
        <f>IFERROR(__xludf.DUMMYFUNCTION("""COMPUTED_VALUE"""),61.97)</f>
        <v>61.97</v>
      </c>
      <c r="D731" s="1">
        <f>IFERROR(__xludf.DUMMYFUNCTION("""COMPUTED_VALUE"""),60.0)</f>
        <v>60</v>
      </c>
      <c r="E731" s="1">
        <f>IFERROR(__xludf.DUMMYFUNCTION("""COMPUTED_VALUE"""),61.6)</f>
        <v>61.6</v>
      </c>
      <c r="F731" s="1">
        <f>IFERROR(__xludf.DUMMYFUNCTION("""COMPUTED_VALUE"""),82201.0)</f>
        <v>82201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IFERROR(__xludf.DUMMYFUNCTION("""COMPUTED_VALUE"""),61.48)</f>
        <v>61.48</v>
      </c>
      <c r="C732" s="1">
        <f>IFERROR(__xludf.DUMMYFUNCTION("""COMPUTED_VALUE"""),62.95)</f>
        <v>62.95</v>
      </c>
      <c r="D732" s="1">
        <f>IFERROR(__xludf.DUMMYFUNCTION("""COMPUTED_VALUE"""),61.48)</f>
        <v>61.48</v>
      </c>
      <c r="E732" s="1">
        <f>IFERROR(__xludf.DUMMYFUNCTION("""COMPUTED_VALUE"""),62.58)</f>
        <v>62.58</v>
      </c>
      <c r="F732" s="1">
        <f>IFERROR(__xludf.DUMMYFUNCTION("""COMPUTED_VALUE"""),77030.0)</f>
        <v>77030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IFERROR(__xludf.DUMMYFUNCTION("""COMPUTED_VALUE"""),62.33)</f>
        <v>62.33</v>
      </c>
      <c r="C733" s="1">
        <f>IFERROR(__xludf.DUMMYFUNCTION("""COMPUTED_VALUE"""),63.01)</f>
        <v>63.01</v>
      </c>
      <c r="D733" s="1">
        <f>IFERROR(__xludf.DUMMYFUNCTION("""COMPUTED_VALUE"""),62.0)</f>
        <v>62</v>
      </c>
      <c r="E733" s="1">
        <f>IFERROR(__xludf.DUMMYFUNCTION("""COMPUTED_VALUE"""),62.08)</f>
        <v>62.08</v>
      </c>
      <c r="F733" s="1">
        <f>IFERROR(__xludf.DUMMYFUNCTION("""COMPUTED_VALUE"""),59167.0)</f>
        <v>59167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IFERROR(__xludf.DUMMYFUNCTION("""COMPUTED_VALUE"""),63.04)</f>
        <v>63.04</v>
      </c>
      <c r="C734" s="1">
        <f>IFERROR(__xludf.DUMMYFUNCTION("""COMPUTED_VALUE"""),63.16)</f>
        <v>63.16</v>
      </c>
      <c r="D734" s="1">
        <f>IFERROR(__xludf.DUMMYFUNCTION("""COMPUTED_VALUE"""),62.17)</f>
        <v>62.17</v>
      </c>
      <c r="E734" s="1">
        <f>IFERROR(__xludf.DUMMYFUNCTION("""COMPUTED_VALUE"""),62.76)</f>
        <v>62.76</v>
      </c>
      <c r="F734" s="1">
        <f>IFERROR(__xludf.DUMMYFUNCTION("""COMPUTED_VALUE"""),51860.0)</f>
        <v>51860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IFERROR(__xludf.DUMMYFUNCTION("""COMPUTED_VALUE"""),63.01)</f>
        <v>63.01</v>
      </c>
      <c r="C735" s="1">
        <f>IFERROR(__xludf.DUMMYFUNCTION("""COMPUTED_VALUE"""),63.01)</f>
        <v>63.01</v>
      </c>
      <c r="D735" s="1">
        <f>IFERROR(__xludf.DUMMYFUNCTION("""COMPUTED_VALUE"""),61.71)</f>
        <v>61.71</v>
      </c>
      <c r="E735" s="1">
        <f>IFERROR(__xludf.DUMMYFUNCTION("""COMPUTED_VALUE"""),62.9)</f>
        <v>62.9</v>
      </c>
      <c r="F735" s="1">
        <f>IFERROR(__xludf.DUMMYFUNCTION("""COMPUTED_VALUE"""),52361.0)</f>
        <v>52361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IFERROR(__xludf.DUMMYFUNCTION("""COMPUTED_VALUE"""),64.07)</f>
        <v>64.07</v>
      </c>
      <c r="C736" s="1">
        <f>IFERROR(__xludf.DUMMYFUNCTION("""COMPUTED_VALUE"""),65.6)</f>
        <v>65.6</v>
      </c>
      <c r="D736" s="1">
        <f>IFERROR(__xludf.DUMMYFUNCTION("""COMPUTED_VALUE"""),63.45)</f>
        <v>63.45</v>
      </c>
      <c r="E736" s="1">
        <f>IFERROR(__xludf.DUMMYFUNCTION("""COMPUTED_VALUE"""),63.58)</f>
        <v>63.58</v>
      </c>
      <c r="F736" s="1">
        <f>IFERROR(__xludf.DUMMYFUNCTION("""COMPUTED_VALUE"""),77657.0)</f>
        <v>77657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IFERROR(__xludf.DUMMYFUNCTION("""COMPUTED_VALUE"""),63.7)</f>
        <v>63.7</v>
      </c>
      <c r="C737" s="1">
        <f>IFERROR(__xludf.DUMMYFUNCTION("""COMPUTED_VALUE"""),64.08)</f>
        <v>64.08</v>
      </c>
      <c r="D737" s="1">
        <f>IFERROR(__xludf.DUMMYFUNCTION("""COMPUTED_VALUE"""),62.79)</f>
        <v>62.79</v>
      </c>
      <c r="E737" s="1">
        <f>IFERROR(__xludf.DUMMYFUNCTION("""COMPUTED_VALUE"""),63.89)</f>
        <v>63.89</v>
      </c>
      <c r="F737" s="1">
        <f>IFERROR(__xludf.DUMMYFUNCTION("""COMPUTED_VALUE"""),125687.0)</f>
        <v>125687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IFERROR(__xludf.DUMMYFUNCTION("""COMPUTED_VALUE"""),64.2)</f>
        <v>64.2</v>
      </c>
      <c r="C738" s="1">
        <f>IFERROR(__xludf.DUMMYFUNCTION("""COMPUTED_VALUE"""),64.2)</f>
        <v>64.2</v>
      </c>
      <c r="D738" s="1">
        <f>IFERROR(__xludf.DUMMYFUNCTION("""COMPUTED_VALUE"""),63.42)</f>
        <v>63.42</v>
      </c>
      <c r="E738" s="1">
        <f>IFERROR(__xludf.DUMMYFUNCTION("""COMPUTED_VALUE"""),63.77)</f>
        <v>63.77</v>
      </c>
      <c r="F738" s="1">
        <f>IFERROR(__xludf.DUMMYFUNCTION("""COMPUTED_VALUE"""),47982.0)</f>
        <v>47982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IFERROR(__xludf.DUMMYFUNCTION("""COMPUTED_VALUE"""),63.5)</f>
        <v>63.5</v>
      </c>
      <c r="C739" s="1">
        <f>IFERROR(__xludf.DUMMYFUNCTION("""COMPUTED_VALUE"""),63.93)</f>
        <v>63.93</v>
      </c>
      <c r="D739" s="1">
        <f>IFERROR(__xludf.DUMMYFUNCTION("""COMPUTED_VALUE"""),62.88)</f>
        <v>62.88</v>
      </c>
      <c r="E739" s="1">
        <f>IFERROR(__xludf.DUMMYFUNCTION("""COMPUTED_VALUE"""),63.52)</f>
        <v>63.52</v>
      </c>
      <c r="F739" s="1">
        <f>IFERROR(__xludf.DUMMYFUNCTION("""COMPUTED_VALUE"""),34833.0)</f>
        <v>34833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IFERROR(__xludf.DUMMYFUNCTION("""COMPUTED_VALUE"""),63.41)</f>
        <v>63.41</v>
      </c>
      <c r="C740" s="1">
        <f>IFERROR(__xludf.DUMMYFUNCTION("""COMPUTED_VALUE"""),63.44)</f>
        <v>63.44</v>
      </c>
      <c r="D740" s="1">
        <f>IFERROR(__xludf.DUMMYFUNCTION("""COMPUTED_VALUE"""),62.28)</f>
        <v>62.28</v>
      </c>
      <c r="E740" s="1">
        <f>IFERROR(__xludf.DUMMYFUNCTION("""COMPUTED_VALUE"""),62.99)</f>
        <v>62.99</v>
      </c>
      <c r="F740" s="1">
        <f>IFERROR(__xludf.DUMMYFUNCTION("""COMPUTED_VALUE"""),46565.0)</f>
        <v>46565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IFERROR(__xludf.DUMMYFUNCTION("""COMPUTED_VALUE"""),62.96)</f>
        <v>62.96</v>
      </c>
      <c r="C741" s="1">
        <f>IFERROR(__xludf.DUMMYFUNCTION("""COMPUTED_VALUE"""),63.16)</f>
        <v>63.16</v>
      </c>
      <c r="D741" s="1">
        <f>IFERROR(__xludf.DUMMYFUNCTION("""COMPUTED_VALUE"""),62.4)</f>
        <v>62.4</v>
      </c>
      <c r="E741" s="1">
        <f>IFERROR(__xludf.DUMMYFUNCTION("""COMPUTED_VALUE"""),62.84)</f>
        <v>62.84</v>
      </c>
      <c r="F741" s="1">
        <f>IFERROR(__xludf.DUMMYFUNCTION("""COMPUTED_VALUE"""),72004.0)</f>
        <v>72004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IFERROR(__xludf.DUMMYFUNCTION("""COMPUTED_VALUE"""),63.05)</f>
        <v>63.05</v>
      </c>
      <c r="C742" s="1">
        <f>IFERROR(__xludf.DUMMYFUNCTION("""COMPUTED_VALUE"""),63.51)</f>
        <v>63.51</v>
      </c>
      <c r="D742" s="1">
        <f>IFERROR(__xludf.DUMMYFUNCTION("""COMPUTED_VALUE"""),62.42)</f>
        <v>62.42</v>
      </c>
      <c r="E742" s="1">
        <f>IFERROR(__xludf.DUMMYFUNCTION("""COMPUTED_VALUE"""),63.08)</f>
        <v>63.08</v>
      </c>
      <c r="F742" s="1">
        <f>IFERROR(__xludf.DUMMYFUNCTION("""COMPUTED_VALUE"""),90846.0)</f>
        <v>90846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IFERROR(__xludf.DUMMYFUNCTION("""COMPUTED_VALUE"""),63.32)</f>
        <v>63.32</v>
      </c>
      <c r="C743" s="1">
        <f>IFERROR(__xludf.DUMMYFUNCTION("""COMPUTED_VALUE"""),63.44)</f>
        <v>63.44</v>
      </c>
      <c r="D743" s="1">
        <f>IFERROR(__xludf.DUMMYFUNCTION("""COMPUTED_VALUE"""),62.29)</f>
        <v>62.29</v>
      </c>
      <c r="E743" s="1">
        <f>IFERROR(__xludf.DUMMYFUNCTION("""COMPUTED_VALUE"""),62.76)</f>
        <v>62.76</v>
      </c>
      <c r="F743" s="1">
        <f>IFERROR(__xludf.DUMMYFUNCTION("""COMPUTED_VALUE"""),48372.0)</f>
        <v>48372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IFERROR(__xludf.DUMMYFUNCTION("""COMPUTED_VALUE"""),62.98)</f>
        <v>62.98</v>
      </c>
      <c r="C744" s="1">
        <f>IFERROR(__xludf.DUMMYFUNCTION("""COMPUTED_VALUE"""),63.07)</f>
        <v>63.07</v>
      </c>
      <c r="D744" s="1">
        <f>IFERROR(__xludf.DUMMYFUNCTION("""COMPUTED_VALUE"""),62.4)</f>
        <v>62.4</v>
      </c>
      <c r="E744" s="1">
        <f>IFERROR(__xludf.DUMMYFUNCTION("""COMPUTED_VALUE"""),62.52)</f>
        <v>62.52</v>
      </c>
      <c r="F744" s="1">
        <f>IFERROR(__xludf.DUMMYFUNCTION("""COMPUTED_VALUE"""),39679.0)</f>
        <v>39679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IFERROR(__xludf.DUMMYFUNCTION("""COMPUTED_VALUE"""),62.53)</f>
        <v>62.53</v>
      </c>
      <c r="C745" s="1">
        <f>IFERROR(__xludf.DUMMYFUNCTION("""COMPUTED_VALUE"""),62.92)</f>
        <v>62.92</v>
      </c>
      <c r="D745" s="1">
        <f>IFERROR(__xludf.DUMMYFUNCTION("""COMPUTED_VALUE"""),61.69)</f>
        <v>61.69</v>
      </c>
      <c r="E745" s="1">
        <f>IFERROR(__xludf.DUMMYFUNCTION("""COMPUTED_VALUE"""),61.9)</f>
        <v>61.9</v>
      </c>
      <c r="F745" s="1">
        <f>IFERROR(__xludf.DUMMYFUNCTION("""COMPUTED_VALUE"""),59963.0)</f>
        <v>59963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IFERROR(__xludf.DUMMYFUNCTION("""COMPUTED_VALUE"""),62.15)</f>
        <v>62.15</v>
      </c>
      <c r="C746" s="1">
        <f>IFERROR(__xludf.DUMMYFUNCTION("""COMPUTED_VALUE"""),63.69)</f>
        <v>63.69</v>
      </c>
      <c r="D746" s="1">
        <f>IFERROR(__xludf.DUMMYFUNCTION("""COMPUTED_VALUE"""),62.15)</f>
        <v>62.15</v>
      </c>
      <c r="E746" s="1">
        <f>IFERROR(__xludf.DUMMYFUNCTION("""COMPUTED_VALUE"""),63.67)</f>
        <v>63.67</v>
      </c>
      <c r="F746" s="1">
        <f>IFERROR(__xludf.DUMMYFUNCTION("""COMPUTED_VALUE"""),53789.0)</f>
        <v>53789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IFERROR(__xludf.DUMMYFUNCTION("""COMPUTED_VALUE"""),63.57)</f>
        <v>63.57</v>
      </c>
      <c r="C747" s="1">
        <f>IFERROR(__xludf.DUMMYFUNCTION("""COMPUTED_VALUE"""),63.76)</f>
        <v>63.76</v>
      </c>
      <c r="D747" s="1">
        <f>IFERROR(__xludf.DUMMYFUNCTION("""COMPUTED_VALUE"""),63.01)</f>
        <v>63.01</v>
      </c>
      <c r="E747" s="1">
        <f>IFERROR(__xludf.DUMMYFUNCTION("""COMPUTED_VALUE"""),63.53)</f>
        <v>63.53</v>
      </c>
      <c r="F747" s="1">
        <f>IFERROR(__xludf.DUMMYFUNCTION("""COMPUTED_VALUE"""),42273.0)</f>
        <v>42273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IFERROR(__xludf.DUMMYFUNCTION("""COMPUTED_VALUE"""),63.4)</f>
        <v>63.4</v>
      </c>
      <c r="C748" s="1">
        <f>IFERROR(__xludf.DUMMYFUNCTION("""COMPUTED_VALUE"""),63.53)</f>
        <v>63.53</v>
      </c>
      <c r="D748" s="1">
        <f>IFERROR(__xludf.DUMMYFUNCTION("""COMPUTED_VALUE"""),62.85)</f>
        <v>62.85</v>
      </c>
      <c r="E748" s="1">
        <f>IFERROR(__xludf.DUMMYFUNCTION("""COMPUTED_VALUE"""),63.19)</f>
        <v>63.19</v>
      </c>
      <c r="F748" s="1">
        <f>IFERROR(__xludf.DUMMYFUNCTION("""COMPUTED_VALUE"""),33127.0)</f>
        <v>33127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IFERROR(__xludf.DUMMYFUNCTION("""COMPUTED_VALUE"""),63.17)</f>
        <v>63.17</v>
      </c>
      <c r="C749" s="1">
        <f>IFERROR(__xludf.DUMMYFUNCTION("""COMPUTED_VALUE"""),63.94)</f>
        <v>63.94</v>
      </c>
      <c r="D749" s="1">
        <f>IFERROR(__xludf.DUMMYFUNCTION("""COMPUTED_VALUE"""),62.97)</f>
        <v>62.97</v>
      </c>
      <c r="E749" s="1">
        <f>IFERROR(__xludf.DUMMYFUNCTION("""COMPUTED_VALUE"""),63.54)</f>
        <v>63.54</v>
      </c>
      <c r="F749" s="1">
        <f>IFERROR(__xludf.DUMMYFUNCTION("""COMPUTED_VALUE"""),38048.0)</f>
        <v>38048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IFERROR(__xludf.DUMMYFUNCTION("""COMPUTED_VALUE"""),63.26)</f>
        <v>63.26</v>
      </c>
      <c r="C750" s="1">
        <f>IFERROR(__xludf.DUMMYFUNCTION("""COMPUTED_VALUE"""),63.85)</f>
        <v>63.85</v>
      </c>
      <c r="D750" s="1">
        <f>IFERROR(__xludf.DUMMYFUNCTION("""COMPUTED_VALUE"""),62.67)</f>
        <v>62.67</v>
      </c>
      <c r="E750" s="1">
        <f>IFERROR(__xludf.DUMMYFUNCTION("""COMPUTED_VALUE"""),63.5)</f>
        <v>63.5</v>
      </c>
      <c r="F750" s="1">
        <f>IFERROR(__xludf.DUMMYFUNCTION("""COMPUTED_VALUE"""),207567.0)</f>
        <v>207567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IFERROR(__xludf.DUMMYFUNCTION("""COMPUTED_VALUE"""),63.32)</f>
        <v>63.32</v>
      </c>
      <c r="C751" s="1">
        <f>IFERROR(__xludf.DUMMYFUNCTION("""COMPUTED_VALUE"""),63.7)</f>
        <v>63.7</v>
      </c>
      <c r="D751" s="1">
        <f>IFERROR(__xludf.DUMMYFUNCTION("""COMPUTED_VALUE"""),62.34)</f>
        <v>62.34</v>
      </c>
      <c r="E751" s="1">
        <f>IFERROR(__xludf.DUMMYFUNCTION("""COMPUTED_VALUE"""),63.11)</f>
        <v>63.11</v>
      </c>
      <c r="F751" s="1">
        <f>IFERROR(__xludf.DUMMYFUNCTION("""COMPUTED_VALUE"""),33939.0)</f>
        <v>33939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IFERROR(__xludf.DUMMYFUNCTION("""COMPUTED_VALUE"""),63.04)</f>
        <v>63.04</v>
      </c>
      <c r="C752" s="1">
        <f>IFERROR(__xludf.DUMMYFUNCTION("""COMPUTED_VALUE"""),63.07)</f>
        <v>63.07</v>
      </c>
      <c r="D752" s="1">
        <f>IFERROR(__xludf.DUMMYFUNCTION("""COMPUTED_VALUE"""),61.81)</f>
        <v>61.81</v>
      </c>
      <c r="E752" s="1">
        <f>IFERROR(__xludf.DUMMYFUNCTION("""COMPUTED_VALUE"""),62.38)</f>
        <v>62.38</v>
      </c>
      <c r="F752" s="1">
        <f>IFERROR(__xludf.DUMMYFUNCTION("""COMPUTED_VALUE"""),33951.0)</f>
        <v>33951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IFERROR(__xludf.DUMMYFUNCTION("""COMPUTED_VALUE"""),62.55)</f>
        <v>62.55</v>
      </c>
      <c r="C753" s="1">
        <f>IFERROR(__xludf.DUMMYFUNCTION("""COMPUTED_VALUE"""),62.69)</f>
        <v>62.69</v>
      </c>
      <c r="D753" s="1">
        <f>IFERROR(__xludf.DUMMYFUNCTION("""COMPUTED_VALUE"""),61.65)</f>
        <v>61.65</v>
      </c>
      <c r="E753" s="1">
        <f>IFERROR(__xludf.DUMMYFUNCTION("""COMPUTED_VALUE"""),62.07)</f>
        <v>62.07</v>
      </c>
      <c r="F753" s="1">
        <f>IFERROR(__xludf.DUMMYFUNCTION("""COMPUTED_VALUE"""),37780.0)</f>
        <v>37780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IFERROR(__xludf.DUMMYFUNCTION("""COMPUTED_VALUE"""),61.96)</f>
        <v>61.96</v>
      </c>
      <c r="C754" s="1">
        <f>IFERROR(__xludf.DUMMYFUNCTION("""COMPUTED_VALUE"""),62.42)</f>
        <v>62.42</v>
      </c>
      <c r="D754" s="1">
        <f>IFERROR(__xludf.DUMMYFUNCTION("""COMPUTED_VALUE"""),61.0)</f>
        <v>61</v>
      </c>
      <c r="E754" s="1">
        <f>IFERROR(__xludf.DUMMYFUNCTION("""COMPUTED_VALUE"""),61.68)</f>
        <v>61.68</v>
      </c>
      <c r="F754" s="1">
        <f>IFERROR(__xludf.DUMMYFUNCTION("""COMPUTED_VALUE"""),22179.0)</f>
        <v>22179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IFERROR(__xludf.DUMMYFUNCTION("""COMPUTED_VALUE"""),61.91)</f>
        <v>61.91</v>
      </c>
      <c r="C755" s="1">
        <f>IFERROR(__xludf.DUMMYFUNCTION("""COMPUTED_VALUE"""),64.02)</f>
        <v>64.02</v>
      </c>
      <c r="D755" s="1">
        <f>IFERROR(__xludf.DUMMYFUNCTION("""COMPUTED_VALUE"""),61.52)</f>
        <v>61.52</v>
      </c>
      <c r="E755" s="1">
        <f>IFERROR(__xludf.DUMMYFUNCTION("""COMPUTED_VALUE"""),63.88)</f>
        <v>63.88</v>
      </c>
      <c r="F755" s="1">
        <f>IFERROR(__xludf.DUMMYFUNCTION("""COMPUTED_VALUE"""),59632.0)</f>
        <v>59632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IFERROR(__xludf.DUMMYFUNCTION("""COMPUTED_VALUE"""),64.76)</f>
        <v>64.76</v>
      </c>
      <c r="C756" s="1">
        <f>IFERROR(__xludf.DUMMYFUNCTION("""COMPUTED_VALUE"""),64.84)</f>
        <v>64.84</v>
      </c>
      <c r="D756" s="1">
        <f>IFERROR(__xludf.DUMMYFUNCTION("""COMPUTED_VALUE"""),63.61)</f>
        <v>63.61</v>
      </c>
      <c r="E756" s="1">
        <f>IFERROR(__xludf.DUMMYFUNCTION("""COMPUTED_VALUE"""),64.32)</f>
        <v>64.32</v>
      </c>
      <c r="F756" s="1">
        <f>IFERROR(__xludf.DUMMYFUNCTION("""COMPUTED_VALUE"""),88361.0)</f>
        <v>88361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IFERROR(__xludf.DUMMYFUNCTION("""COMPUTED_VALUE"""),64.21)</f>
        <v>64.21</v>
      </c>
      <c r="C757" s="1">
        <f>IFERROR(__xludf.DUMMYFUNCTION("""COMPUTED_VALUE"""),64.78)</f>
        <v>64.78</v>
      </c>
      <c r="D757" s="1">
        <f>IFERROR(__xludf.DUMMYFUNCTION("""COMPUTED_VALUE"""),63.36)</f>
        <v>63.36</v>
      </c>
      <c r="E757" s="1">
        <f>IFERROR(__xludf.DUMMYFUNCTION("""COMPUTED_VALUE"""),64.68)</f>
        <v>64.68</v>
      </c>
      <c r="F757" s="1">
        <f>IFERROR(__xludf.DUMMYFUNCTION("""COMPUTED_VALUE"""),49419.0)</f>
        <v>49419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IFERROR(__xludf.DUMMYFUNCTION("""COMPUTED_VALUE"""),64.96)</f>
        <v>64.96</v>
      </c>
      <c r="C758" s="1">
        <f>IFERROR(__xludf.DUMMYFUNCTION("""COMPUTED_VALUE"""),65.77)</f>
        <v>65.77</v>
      </c>
      <c r="D758" s="1">
        <f>IFERROR(__xludf.DUMMYFUNCTION("""COMPUTED_VALUE"""),64.52)</f>
        <v>64.52</v>
      </c>
      <c r="E758" s="1">
        <f>IFERROR(__xludf.DUMMYFUNCTION("""COMPUTED_VALUE"""),64.77)</f>
        <v>64.77</v>
      </c>
      <c r="F758" s="1">
        <f>IFERROR(__xludf.DUMMYFUNCTION("""COMPUTED_VALUE"""),54264.0)</f>
        <v>54264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IFERROR(__xludf.DUMMYFUNCTION("""COMPUTED_VALUE"""),64.31)</f>
        <v>64.31</v>
      </c>
      <c r="C759" s="1">
        <f>IFERROR(__xludf.DUMMYFUNCTION("""COMPUTED_VALUE"""),64.76)</f>
        <v>64.76</v>
      </c>
      <c r="D759" s="1">
        <f>IFERROR(__xludf.DUMMYFUNCTION("""COMPUTED_VALUE"""),63.39)</f>
        <v>63.39</v>
      </c>
      <c r="E759" s="1">
        <f>IFERROR(__xludf.DUMMYFUNCTION("""COMPUTED_VALUE"""),63.4)</f>
        <v>63.4</v>
      </c>
      <c r="F759" s="1">
        <f>IFERROR(__xludf.DUMMYFUNCTION("""COMPUTED_VALUE"""),31047.0)</f>
        <v>31047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IFERROR(__xludf.DUMMYFUNCTION("""COMPUTED_VALUE"""),63.65)</f>
        <v>63.65</v>
      </c>
      <c r="C760" s="1">
        <f>IFERROR(__xludf.DUMMYFUNCTION("""COMPUTED_VALUE"""),64.18)</f>
        <v>64.18</v>
      </c>
      <c r="D760" s="1">
        <f>IFERROR(__xludf.DUMMYFUNCTION("""COMPUTED_VALUE"""),63.0)</f>
        <v>63</v>
      </c>
      <c r="E760" s="1">
        <f>IFERROR(__xludf.DUMMYFUNCTION("""COMPUTED_VALUE"""),63.43)</f>
        <v>63.43</v>
      </c>
      <c r="F760" s="1">
        <f>IFERROR(__xludf.DUMMYFUNCTION("""COMPUTED_VALUE"""),77771.0)</f>
        <v>77771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IFERROR(__xludf.DUMMYFUNCTION("""COMPUTED_VALUE"""),63.38)</f>
        <v>63.38</v>
      </c>
      <c r="C761" s="1">
        <f>IFERROR(__xludf.DUMMYFUNCTION("""COMPUTED_VALUE"""),65.27)</f>
        <v>65.27</v>
      </c>
      <c r="D761" s="1">
        <f>IFERROR(__xludf.DUMMYFUNCTION("""COMPUTED_VALUE"""),63.38)</f>
        <v>63.38</v>
      </c>
      <c r="E761" s="1">
        <f>IFERROR(__xludf.DUMMYFUNCTION("""COMPUTED_VALUE"""),64.97)</f>
        <v>64.97</v>
      </c>
      <c r="F761" s="1">
        <f>IFERROR(__xludf.DUMMYFUNCTION("""COMPUTED_VALUE"""),49732.0)</f>
        <v>49732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IFERROR(__xludf.DUMMYFUNCTION("""COMPUTED_VALUE"""),64.96)</f>
        <v>64.96</v>
      </c>
      <c r="C762" s="1">
        <f>IFERROR(__xludf.DUMMYFUNCTION("""COMPUTED_VALUE"""),65.07)</f>
        <v>65.07</v>
      </c>
      <c r="D762" s="1">
        <f>IFERROR(__xludf.DUMMYFUNCTION("""COMPUTED_VALUE"""),63.56)</f>
        <v>63.56</v>
      </c>
      <c r="E762" s="1">
        <f>IFERROR(__xludf.DUMMYFUNCTION("""COMPUTED_VALUE"""),64.26)</f>
        <v>64.26</v>
      </c>
      <c r="F762" s="1">
        <f>IFERROR(__xludf.DUMMYFUNCTION("""COMPUTED_VALUE"""),25065.0)</f>
        <v>25065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IFERROR(__xludf.DUMMYFUNCTION("""COMPUTED_VALUE"""),64.38)</f>
        <v>64.38</v>
      </c>
      <c r="C763" s="1">
        <f>IFERROR(__xludf.DUMMYFUNCTION("""COMPUTED_VALUE"""),64.94)</f>
        <v>64.94</v>
      </c>
      <c r="D763" s="1">
        <f>IFERROR(__xludf.DUMMYFUNCTION("""COMPUTED_VALUE"""),64.0)</f>
        <v>64</v>
      </c>
      <c r="E763" s="1">
        <f>IFERROR(__xludf.DUMMYFUNCTION("""COMPUTED_VALUE"""),64.65)</f>
        <v>64.65</v>
      </c>
      <c r="F763" s="1">
        <f>IFERROR(__xludf.DUMMYFUNCTION("""COMPUTED_VALUE"""),42564.0)</f>
        <v>42564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IFERROR(__xludf.DUMMYFUNCTION("""COMPUTED_VALUE"""),64.34)</f>
        <v>64.34</v>
      </c>
      <c r="C764" s="1">
        <f>IFERROR(__xludf.DUMMYFUNCTION("""COMPUTED_VALUE"""),64.99)</f>
        <v>64.99</v>
      </c>
      <c r="D764" s="1">
        <f>IFERROR(__xludf.DUMMYFUNCTION("""COMPUTED_VALUE"""),64.15)</f>
        <v>64.15</v>
      </c>
      <c r="E764" s="1">
        <f>IFERROR(__xludf.DUMMYFUNCTION("""COMPUTED_VALUE"""),64.99)</f>
        <v>64.99</v>
      </c>
      <c r="F764" s="1">
        <f>IFERROR(__xludf.DUMMYFUNCTION("""COMPUTED_VALUE"""),19817.0)</f>
        <v>19817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IFERROR(__xludf.DUMMYFUNCTION("""COMPUTED_VALUE"""),64.5)</f>
        <v>64.5</v>
      </c>
      <c r="C765" s="1">
        <f>IFERROR(__xludf.DUMMYFUNCTION("""COMPUTED_VALUE"""),65.56)</f>
        <v>65.56</v>
      </c>
      <c r="D765" s="1">
        <f>IFERROR(__xludf.DUMMYFUNCTION("""COMPUTED_VALUE"""),64.5)</f>
        <v>64.5</v>
      </c>
      <c r="E765" s="1">
        <f>IFERROR(__xludf.DUMMYFUNCTION("""COMPUTED_VALUE"""),65.3)</f>
        <v>65.3</v>
      </c>
      <c r="F765" s="1">
        <f>IFERROR(__xludf.DUMMYFUNCTION("""COMPUTED_VALUE"""),23532.0)</f>
        <v>23532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IFERROR(__xludf.DUMMYFUNCTION("""COMPUTED_VALUE"""),65.23)</f>
        <v>65.23</v>
      </c>
      <c r="C766" s="1">
        <f>IFERROR(__xludf.DUMMYFUNCTION("""COMPUTED_VALUE"""),65.67)</f>
        <v>65.67</v>
      </c>
      <c r="D766" s="1">
        <f>IFERROR(__xludf.DUMMYFUNCTION("""COMPUTED_VALUE"""),64.61)</f>
        <v>64.61</v>
      </c>
      <c r="E766" s="1">
        <f>IFERROR(__xludf.DUMMYFUNCTION("""COMPUTED_VALUE"""),65.41)</f>
        <v>65.41</v>
      </c>
      <c r="F766" s="1">
        <f>IFERROR(__xludf.DUMMYFUNCTION("""COMPUTED_VALUE"""),47368.0)</f>
        <v>47368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IFERROR(__xludf.DUMMYFUNCTION("""COMPUTED_VALUE"""),65.75)</f>
        <v>65.75</v>
      </c>
      <c r="C767" s="1">
        <f>IFERROR(__xludf.DUMMYFUNCTION("""COMPUTED_VALUE"""),65.8)</f>
        <v>65.8</v>
      </c>
      <c r="D767" s="1">
        <f>IFERROR(__xludf.DUMMYFUNCTION("""COMPUTED_VALUE"""),65.4)</f>
        <v>65.4</v>
      </c>
      <c r="E767" s="1">
        <f>IFERROR(__xludf.DUMMYFUNCTION("""COMPUTED_VALUE"""),65.7)</f>
        <v>65.7</v>
      </c>
      <c r="F767" s="1">
        <f>IFERROR(__xludf.DUMMYFUNCTION("""COMPUTED_VALUE"""),19660.0)</f>
        <v>19660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IFERROR(__xludf.DUMMYFUNCTION("""COMPUTED_VALUE"""),65.87)</f>
        <v>65.87</v>
      </c>
      <c r="C768" s="1">
        <f>IFERROR(__xludf.DUMMYFUNCTION("""COMPUTED_VALUE"""),66.29)</f>
        <v>66.29</v>
      </c>
      <c r="D768" s="1">
        <f>IFERROR(__xludf.DUMMYFUNCTION("""COMPUTED_VALUE"""),65.27)</f>
        <v>65.27</v>
      </c>
      <c r="E768" s="1">
        <f>IFERROR(__xludf.DUMMYFUNCTION("""COMPUTED_VALUE"""),66.11)</f>
        <v>66.11</v>
      </c>
      <c r="F768" s="1">
        <f>IFERROR(__xludf.DUMMYFUNCTION("""COMPUTED_VALUE"""),56337.0)</f>
        <v>56337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IFERROR(__xludf.DUMMYFUNCTION("""COMPUTED_VALUE"""),65.97)</f>
        <v>65.97</v>
      </c>
      <c r="C769" s="1">
        <f>IFERROR(__xludf.DUMMYFUNCTION("""COMPUTED_VALUE"""),66.6)</f>
        <v>66.6</v>
      </c>
      <c r="D769" s="1">
        <f>IFERROR(__xludf.DUMMYFUNCTION("""COMPUTED_VALUE"""),65.54)</f>
        <v>65.54</v>
      </c>
      <c r="E769" s="1">
        <f>IFERROR(__xludf.DUMMYFUNCTION("""COMPUTED_VALUE"""),66.5)</f>
        <v>66.5</v>
      </c>
      <c r="F769" s="1">
        <f>IFERROR(__xludf.DUMMYFUNCTION("""COMPUTED_VALUE"""),32810.0)</f>
        <v>32810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IFERROR(__xludf.DUMMYFUNCTION("""COMPUTED_VALUE"""),66.4)</f>
        <v>66.4</v>
      </c>
      <c r="C770" s="1">
        <f>IFERROR(__xludf.DUMMYFUNCTION("""COMPUTED_VALUE"""),66.52)</f>
        <v>66.52</v>
      </c>
      <c r="D770" s="1">
        <f>IFERROR(__xludf.DUMMYFUNCTION("""COMPUTED_VALUE"""),65.41)</f>
        <v>65.41</v>
      </c>
      <c r="E770" s="1">
        <f>IFERROR(__xludf.DUMMYFUNCTION("""COMPUTED_VALUE"""),65.51)</f>
        <v>65.51</v>
      </c>
      <c r="F770" s="1">
        <f>IFERROR(__xludf.DUMMYFUNCTION("""COMPUTED_VALUE"""),38848.0)</f>
        <v>38848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IFERROR(__xludf.DUMMYFUNCTION("""COMPUTED_VALUE"""),65.44)</f>
        <v>65.44</v>
      </c>
      <c r="C771" s="1">
        <f>IFERROR(__xludf.DUMMYFUNCTION("""COMPUTED_VALUE"""),65.88)</f>
        <v>65.88</v>
      </c>
      <c r="D771" s="1">
        <f>IFERROR(__xludf.DUMMYFUNCTION("""COMPUTED_VALUE"""),63.28)</f>
        <v>63.28</v>
      </c>
      <c r="E771" s="1">
        <f>IFERROR(__xludf.DUMMYFUNCTION("""COMPUTED_VALUE"""),65.62)</f>
        <v>65.62</v>
      </c>
      <c r="F771" s="1">
        <f>IFERROR(__xludf.DUMMYFUNCTION("""COMPUTED_VALUE"""),48596.0)</f>
        <v>48596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IFERROR(__xludf.DUMMYFUNCTION("""COMPUTED_VALUE"""),65.77)</f>
        <v>65.77</v>
      </c>
      <c r="C772" s="1">
        <f>IFERROR(__xludf.DUMMYFUNCTION("""COMPUTED_VALUE"""),66.28)</f>
        <v>66.28</v>
      </c>
      <c r="D772" s="1">
        <f>IFERROR(__xludf.DUMMYFUNCTION("""COMPUTED_VALUE"""),64.79)</f>
        <v>64.79</v>
      </c>
      <c r="E772" s="1">
        <f>IFERROR(__xludf.DUMMYFUNCTION("""COMPUTED_VALUE"""),66.06)</f>
        <v>66.06</v>
      </c>
      <c r="F772" s="1">
        <f>IFERROR(__xludf.DUMMYFUNCTION("""COMPUTED_VALUE"""),60703.0)</f>
        <v>60703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IFERROR(__xludf.DUMMYFUNCTION("""COMPUTED_VALUE"""),65.99)</f>
        <v>65.99</v>
      </c>
      <c r="C773" s="1">
        <f>IFERROR(__xludf.DUMMYFUNCTION("""COMPUTED_VALUE"""),66.72)</f>
        <v>66.72</v>
      </c>
      <c r="D773" s="1">
        <f>IFERROR(__xludf.DUMMYFUNCTION("""COMPUTED_VALUE"""),65.28)</f>
        <v>65.28</v>
      </c>
      <c r="E773" s="1">
        <f>IFERROR(__xludf.DUMMYFUNCTION("""COMPUTED_VALUE"""),66.42)</f>
        <v>66.42</v>
      </c>
      <c r="F773" s="1">
        <f>IFERROR(__xludf.DUMMYFUNCTION("""COMPUTED_VALUE"""),57596.0)</f>
        <v>57596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IFERROR(__xludf.DUMMYFUNCTION("""COMPUTED_VALUE"""),67.0)</f>
        <v>67</v>
      </c>
      <c r="C774" s="1">
        <f>IFERROR(__xludf.DUMMYFUNCTION("""COMPUTED_VALUE"""),69.97)</f>
        <v>69.97</v>
      </c>
      <c r="D774" s="1">
        <f>IFERROR(__xludf.DUMMYFUNCTION("""COMPUTED_VALUE"""),67.0)</f>
        <v>67</v>
      </c>
      <c r="E774" s="1">
        <f>IFERROR(__xludf.DUMMYFUNCTION("""COMPUTED_VALUE"""),68.34)</f>
        <v>68.34</v>
      </c>
      <c r="F774" s="1">
        <f>IFERROR(__xludf.DUMMYFUNCTION("""COMPUTED_VALUE"""),82691.0)</f>
        <v>82691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IFERROR(__xludf.DUMMYFUNCTION("""COMPUTED_VALUE"""),67.97)</f>
        <v>67.97</v>
      </c>
      <c r="C775" s="1">
        <f>IFERROR(__xludf.DUMMYFUNCTION("""COMPUTED_VALUE"""),68.22)</f>
        <v>68.22</v>
      </c>
      <c r="D775" s="1">
        <f>IFERROR(__xludf.DUMMYFUNCTION("""COMPUTED_VALUE"""),67.03)</f>
        <v>67.03</v>
      </c>
      <c r="E775" s="1">
        <f>IFERROR(__xludf.DUMMYFUNCTION("""COMPUTED_VALUE"""),67.4)</f>
        <v>67.4</v>
      </c>
      <c r="F775" s="1">
        <f>IFERROR(__xludf.DUMMYFUNCTION("""COMPUTED_VALUE"""),44654.0)</f>
        <v>44654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IFERROR(__xludf.DUMMYFUNCTION("""COMPUTED_VALUE"""),67.49)</f>
        <v>67.49</v>
      </c>
      <c r="C776" s="1">
        <f>IFERROR(__xludf.DUMMYFUNCTION("""COMPUTED_VALUE"""),68.86)</f>
        <v>68.86</v>
      </c>
      <c r="D776" s="1">
        <f>IFERROR(__xludf.DUMMYFUNCTION("""COMPUTED_VALUE"""),67.3)</f>
        <v>67.3</v>
      </c>
      <c r="E776" s="1">
        <f>IFERROR(__xludf.DUMMYFUNCTION("""COMPUTED_VALUE"""),68.15)</f>
        <v>68.15</v>
      </c>
      <c r="F776" s="1">
        <f>IFERROR(__xludf.DUMMYFUNCTION("""COMPUTED_VALUE"""),61493.0)</f>
        <v>61493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IFERROR(__xludf.DUMMYFUNCTION("""COMPUTED_VALUE"""),68.17)</f>
        <v>68.17</v>
      </c>
      <c r="C777" s="1">
        <f>IFERROR(__xludf.DUMMYFUNCTION("""COMPUTED_VALUE"""),68.73)</f>
        <v>68.73</v>
      </c>
      <c r="D777" s="1">
        <f>IFERROR(__xludf.DUMMYFUNCTION("""COMPUTED_VALUE"""),68.15)</f>
        <v>68.15</v>
      </c>
      <c r="E777" s="1">
        <f>IFERROR(__xludf.DUMMYFUNCTION("""COMPUTED_VALUE"""),68.38)</f>
        <v>68.38</v>
      </c>
      <c r="F777" s="1">
        <f>IFERROR(__xludf.DUMMYFUNCTION("""COMPUTED_VALUE"""),47390.0)</f>
        <v>47390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IFERROR(__xludf.DUMMYFUNCTION("""COMPUTED_VALUE"""),68.1)</f>
        <v>68.1</v>
      </c>
      <c r="C778" s="1">
        <f>IFERROR(__xludf.DUMMYFUNCTION("""COMPUTED_VALUE"""),68.73)</f>
        <v>68.73</v>
      </c>
      <c r="D778" s="1">
        <f>IFERROR(__xludf.DUMMYFUNCTION("""COMPUTED_VALUE"""),67.28)</f>
        <v>67.28</v>
      </c>
      <c r="E778" s="1">
        <f>IFERROR(__xludf.DUMMYFUNCTION("""COMPUTED_VALUE"""),68.36)</f>
        <v>68.36</v>
      </c>
      <c r="F778" s="1">
        <f>IFERROR(__xludf.DUMMYFUNCTION("""COMPUTED_VALUE"""),45308.0)</f>
        <v>45308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IFERROR(__xludf.DUMMYFUNCTION("""COMPUTED_VALUE"""),68.48)</f>
        <v>68.48</v>
      </c>
      <c r="C779" s="1">
        <f>IFERROR(__xludf.DUMMYFUNCTION("""COMPUTED_VALUE"""),69.04)</f>
        <v>69.04</v>
      </c>
      <c r="D779" s="1">
        <f>IFERROR(__xludf.DUMMYFUNCTION("""COMPUTED_VALUE"""),68.48)</f>
        <v>68.48</v>
      </c>
      <c r="E779" s="1">
        <f>IFERROR(__xludf.DUMMYFUNCTION("""COMPUTED_VALUE"""),68.96)</f>
        <v>68.96</v>
      </c>
      <c r="F779" s="1">
        <f>IFERROR(__xludf.DUMMYFUNCTION("""COMPUTED_VALUE"""),51027.0)</f>
        <v>51027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IFERROR(__xludf.DUMMYFUNCTION("""COMPUTED_VALUE"""),68.56)</f>
        <v>68.56</v>
      </c>
      <c r="C780" s="1">
        <f>IFERROR(__xludf.DUMMYFUNCTION("""COMPUTED_VALUE"""),69.35)</f>
        <v>69.35</v>
      </c>
      <c r="D780" s="1">
        <f>IFERROR(__xludf.DUMMYFUNCTION("""COMPUTED_VALUE"""),68.3)</f>
        <v>68.3</v>
      </c>
      <c r="E780" s="1">
        <f>IFERROR(__xludf.DUMMYFUNCTION("""COMPUTED_VALUE"""),69.2)</f>
        <v>69.2</v>
      </c>
      <c r="F780" s="1">
        <f>IFERROR(__xludf.DUMMYFUNCTION("""COMPUTED_VALUE"""),36760.0)</f>
        <v>36760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IFERROR(__xludf.DUMMYFUNCTION("""COMPUTED_VALUE"""),69.18)</f>
        <v>69.18</v>
      </c>
      <c r="C781" s="1">
        <f>IFERROR(__xludf.DUMMYFUNCTION("""COMPUTED_VALUE"""),69.61)</f>
        <v>69.61</v>
      </c>
      <c r="D781" s="1">
        <f>IFERROR(__xludf.DUMMYFUNCTION("""COMPUTED_VALUE"""),69.01)</f>
        <v>69.01</v>
      </c>
      <c r="E781" s="1">
        <f>IFERROR(__xludf.DUMMYFUNCTION("""COMPUTED_VALUE"""),69.33)</f>
        <v>69.33</v>
      </c>
      <c r="F781" s="1">
        <f>IFERROR(__xludf.DUMMYFUNCTION("""COMPUTED_VALUE"""),103256.0)</f>
        <v>103256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IFERROR(__xludf.DUMMYFUNCTION("""COMPUTED_VALUE"""),69.21)</f>
        <v>69.21</v>
      </c>
      <c r="C782" s="1">
        <f>IFERROR(__xludf.DUMMYFUNCTION("""COMPUTED_VALUE"""),69.49)</f>
        <v>69.49</v>
      </c>
      <c r="D782" s="1">
        <f>IFERROR(__xludf.DUMMYFUNCTION("""COMPUTED_VALUE"""),68.74)</f>
        <v>68.74</v>
      </c>
      <c r="E782" s="1">
        <f>IFERROR(__xludf.DUMMYFUNCTION("""COMPUTED_VALUE"""),68.94)</f>
        <v>68.94</v>
      </c>
      <c r="F782" s="1">
        <f>IFERROR(__xludf.DUMMYFUNCTION("""COMPUTED_VALUE"""),36547.0)</f>
        <v>36547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IFERROR(__xludf.DUMMYFUNCTION("""COMPUTED_VALUE"""),68.8)</f>
        <v>68.8</v>
      </c>
      <c r="C783" s="1">
        <f>IFERROR(__xludf.DUMMYFUNCTION("""COMPUTED_VALUE"""),68.8)</f>
        <v>68.8</v>
      </c>
      <c r="D783" s="1">
        <f>IFERROR(__xludf.DUMMYFUNCTION("""COMPUTED_VALUE"""),68.45)</f>
        <v>68.45</v>
      </c>
      <c r="E783" s="1">
        <f>IFERROR(__xludf.DUMMYFUNCTION("""COMPUTED_VALUE"""),68.8)</f>
        <v>68.8</v>
      </c>
      <c r="F783" s="1">
        <f>IFERROR(__xludf.DUMMYFUNCTION("""COMPUTED_VALUE"""),53871.0)</f>
        <v>53871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IFERROR(__xludf.DUMMYFUNCTION("""COMPUTED_VALUE"""),68.65)</f>
        <v>68.65</v>
      </c>
      <c r="C784" s="1">
        <f>IFERROR(__xludf.DUMMYFUNCTION("""COMPUTED_VALUE"""),68.95)</f>
        <v>68.95</v>
      </c>
      <c r="D784" s="1">
        <f>IFERROR(__xludf.DUMMYFUNCTION("""COMPUTED_VALUE"""),68.43)</f>
        <v>68.43</v>
      </c>
      <c r="E784" s="1">
        <f>IFERROR(__xludf.DUMMYFUNCTION("""COMPUTED_VALUE"""),68.67)</f>
        <v>68.67</v>
      </c>
      <c r="F784" s="1">
        <f>IFERROR(__xludf.DUMMYFUNCTION("""COMPUTED_VALUE"""),49506.0)</f>
        <v>49506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IFERROR(__xludf.DUMMYFUNCTION("""COMPUTED_VALUE"""),68.73)</f>
        <v>68.73</v>
      </c>
      <c r="C785" s="1">
        <f>IFERROR(__xludf.DUMMYFUNCTION("""COMPUTED_VALUE"""),68.85)</f>
        <v>68.85</v>
      </c>
      <c r="D785" s="1">
        <f>IFERROR(__xludf.DUMMYFUNCTION("""COMPUTED_VALUE"""),68.51)</f>
        <v>68.51</v>
      </c>
      <c r="E785" s="1">
        <f>IFERROR(__xludf.DUMMYFUNCTION("""COMPUTED_VALUE"""),68.75)</f>
        <v>68.75</v>
      </c>
      <c r="F785" s="1">
        <f>IFERROR(__xludf.DUMMYFUNCTION("""COMPUTED_VALUE"""),34824.0)</f>
        <v>34824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IFERROR(__xludf.DUMMYFUNCTION("""COMPUTED_VALUE"""),68.79)</f>
        <v>68.79</v>
      </c>
      <c r="C786" s="1">
        <f>IFERROR(__xludf.DUMMYFUNCTION("""COMPUTED_VALUE"""),69.51)</f>
        <v>69.51</v>
      </c>
      <c r="D786" s="1">
        <f>IFERROR(__xludf.DUMMYFUNCTION("""COMPUTED_VALUE"""),68.71)</f>
        <v>68.71</v>
      </c>
      <c r="E786" s="1">
        <f>IFERROR(__xludf.DUMMYFUNCTION("""COMPUTED_VALUE"""),68.87)</f>
        <v>68.87</v>
      </c>
      <c r="F786" s="1">
        <f>IFERROR(__xludf.DUMMYFUNCTION("""COMPUTED_VALUE"""),39205.0)</f>
        <v>39205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IFERROR(__xludf.DUMMYFUNCTION("""COMPUTED_VALUE"""),69.18)</f>
        <v>69.18</v>
      </c>
      <c r="C787" s="1">
        <f>IFERROR(__xludf.DUMMYFUNCTION("""COMPUTED_VALUE"""),69.18)</f>
        <v>69.18</v>
      </c>
      <c r="D787" s="1">
        <f>IFERROR(__xludf.DUMMYFUNCTION("""COMPUTED_VALUE"""),68.67)</f>
        <v>68.67</v>
      </c>
      <c r="E787" s="1">
        <f>IFERROR(__xludf.DUMMYFUNCTION("""COMPUTED_VALUE"""),69.03)</f>
        <v>69.03</v>
      </c>
      <c r="F787" s="1">
        <f>IFERROR(__xludf.DUMMYFUNCTION("""COMPUTED_VALUE"""),29537.0)</f>
        <v>29537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IFERROR(__xludf.DUMMYFUNCTION("""COMPUTED_VALUE"""),68.96)</f>
        <v>68.96</v>
      </c>
      <c r="C788" s="1">
        <f>IFERROR(__xludf.DUMMYFUNCTION("""COMPUTED_VALUE"""),69.64)</f>
        <v>69.64</v>
      </c>
      <c r="D788" s="1">
        <f>IFERROR(__xludf.DUMMYFUNCTION("""COMPUTED_VALUE"""),68.83)</f>
        <v>68.83</v>
      </c>
      <c r="E788" s="1">
        <f>IFERROR(__xludf.DUMMYFUNCTION("""COMPUTED_VALUE"""),69.39)</f>
        <v>69.39</v>
      </c>
      <c r="F788" s="1">
        <f>IFERROR(__xludf.DUMMYFUNCTION("""COMPUTED_VALUE"""),114493.0)</f>
        <v>114493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IFERROR(__xludf.DUMMYFUNCTION("""COMPUTED_VALUE"""),69.32)</f>
        <v>69.32</v>
      </c>
      <c r="C789" s="1">
        <f>IFERROR(__xludf.DUMMYFUNCTION("""COMPUTED_VALUE"""),70.0)</f>
        <v>70</v>
      </c>
      <c r="D789" s="1">
        <f>IFERROR(__xludf.DUMMYFUNCTION("""COMPUTED_VALUE"""),68.83)</f>
        <v>68.83</v>
      </c>
      <c r="E789" s="1">
        <f>IFERROR(__xludf.DUMMYFUNCTION("""COMPUTED_VALUE"""),68.85)</f>
        <v>68.85</v>
      </c>
      <c r="F789" s="1">
        <f>IFERROR(__xludf.DUMMYFUNCTION("""COMPUTED_VALUE"""),36471.0)</f>
        <v>36471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IFERROR(__xludf.DUMMYFUNCTION("""COMPUTED_VALUE"""),68.96)</f>
        <v>68.96</v>
      </c>
      <c r="C790" s="1">
        <f>IFERROR(__xludf.DUMMYFUNCTION("""COMPUTED_VALUE"""),69.22)</f>
        <v>69.22</v>
      </c>
      <c r="D790" s="1">
        <f>IFERROR(__xludf.DUMMYFUNCTION("""COMPUTED_VALUE"""),68.33)</f>
        <v>68.33</v>
      </c>
      <c r="E790" s="1">
        <f>IFERROR(__xludf.DUMMYFUNCTION("""COMPUTED_VALUE"""),68.87)</f>
        <v>68.87</v>
      </c>
      <c r="F790" s="1">
        <f>IFERROR(__xludf.DUMMYFUNCTION("""COMPUTED_VALUE"""),43950.0)</f>
        <v>43950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IFERROR(__xludf.DUMMYFUNCTION("""COMPUTED_VALUE"""),69.04)</f>
        <v>69.04</v>
      </c>
      <c r="C791" s="1">
        <f>IFERROR(__xludf.DUMMYFUNCTION("""COMPUTED_VALUE"""),69.52)</f>
        <v>69.52</v>
      </c>
      <c r="D791" s="1">
        <f>IFERROR(__xludf.DUMMYFUNCTION("""COMPUTED_VALUE"""),68.52)</f>
        <v>68.52</v>
      </c>
      <c r="E791" s="1">
        <f>IFERROR(__xludf.DUMMYFUNCTION("""COMPUTED_VALUE"""),68.97)</f>
        <v>68.97</v>
      </c>
      <c r="F791" s="1">
        <f>IFERROR(__xludf.DUMMYFUNCTION("""COMPUTED_VALUE"""),77634.0)</f>
        <v>77634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IFERROR(__xludf.DUMMYFUNCTION("""COMPUTED_VALUE"""),69.09)</f>
        <v>69.09</v>
      </c>
      <c r="C792" s="1">
        <f>IFERROR(__xludf.DUMMYFUNCTION("""COMPUTED_VALUE"""),69.78)</f>
        <v>69.78</v>
      </c>
      <c r="D792" s="1">
        <f>IFERROR(__xludf.DUMMYFUNCTION("""COMPUTED_VALUE"""),68.78)</f>
        <v>68.78</v>
      </c>
      <c r="E792" s="1">
        <f>IFERROR(__xludf.DUMMYFUNCTION("""COMPUTED_VALUE"""),68.92)</f>
        <v>68.92</v>
      </c>
      <c r="F792" s="1">
        <f>IFERROR(__xludf.DUMMYFUNCTION("""COMPUTED_VALUE"""),90846.0)</f>
        <v>90846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IFERROR(__xludf.DUMMYFUNCTION("""COMPUTED_VALUE"""),68.68)</f>
        <v>68.68</v>
      </c>
      <c r="C793" s="1">
        <f>IFERROR(__xludf.DUMMYFUNCTION("""COMPUTED_VALUE"""),69.57)</f>
        <v>69.57</v>
      </c>
      <c r="D793" s="1">
        <f>IFERROR(__xludf.DUMMYFUNCTION("""COMPUTED_VALUE"""),68.46)</f>
        <v>68.46</v>
      </c>
      <c r="E793" s="1">
        <f>IFERROR(__xludf.DUMMYFUNCTION("""COMPUTED_VALUE"""),68.77)</f>
        <v>68.77</v>
      </c>
      <c r="F793" s="1">
        <f>IFERROR(__xludf.DUMMYFUNCTION("""COMPUTED_VALUE"""),65877.0)</f>
        <v>65877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IFERROR(__xludf.DUMMYFUNCTION("""COMPUTED_VALUE"""),68.68)</f>
        <v>68.68</v>
      </c>
      <c r="C794" s="1">
        <f>IFERROR(__xludf.DUMMYFUNCTION("""COMPUTED_VALUE"""),69.67)</f>
        <v>69.67</v>
      </c>
      <c r="D794" s="1">
        <f>IFERROR(__xludf.DUMMYFUNCTION("""COMPUTED_VALUE"""),68.68)</f>
        <v>68.68</v>
      </c>
      <c r="E794" s="1">
        <f>IFERROR(__xludf.DUMMYFUNCTION("""COMPUTED_VALUE"""),69.09)</f>
        <v>69.09</v>
      </c>
      <c r="F794" s="1">
        <f>IFERROR(__xludf.DUMMYFUNCTION("""COMPUTED_VALUE"""),30835.0)</f>
        <v>30835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IFERROR(__xludf.DUMMYFUNCTION("""COMPUTED_VALUE"""),69.23)</f>
        <v>69.23</v>
      </c>
      <c r="C795" s="1">
        <f>IFERROR(__xludf.DUMMYFUNCTION("""COMPUTED_VALUE"""),69.63)</f>
        <v>69.63</v>
      </c>
      <c r="D795" s="1">
        <f>IFERROR(__xludf.DUMMYFUNCTION("""COMPUTED_VALUE"""),68.76)</f>
        <v>68.76</v>
      </c>
      <c r="E795" s="1">
        <f>IFERROR(__xludf.DUMMYFUNCTION("""COMPUTED_VALUE"""),69.22)</f>
        <v>69.22</v>
      </c>
      <c r="F795" s="1">
        <f>IFERROR(__xludf.DUMMYFUNCTION("""COMPUTED_VALUE"""),44065.0)</f>
        <v>44065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IFERROR(__xludf.DUMMYFUNCTION("""COMPUTED_VALUE"""),69.51)</f>
        <v>69.51</v>
      </c>
      <c r="C796" s="1">
        <f>IFERROR(__xludf.DUMMYFUNCTION("""COMPUTED_VALUE"""),70.43)</f>
        <v>70.43</v>
      </c>
      <c r="D796" s="1">
        <f>IFERROR(__xludf.DUMMYFUNCTION("""COMPUTED_VALUE"""),69.0)</f>
        <v>69</v>
      </c>
      <c r="E796" s="1">
        <f>IFERROR(__xludf.DUMMYFUNCTION("""COMPUTED_VALUE"""),69.98)</f>
        <v>69.98</v>
      </c>
      <c r="F796" s="1">
        <f>IFERROR(__xludf.DUMMYFUNCTION("""COMPUTED_VALUE"""),45250.0)</f>
        <v>45250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IFERROR(__xludf.DUMMYFUNCTION("""COMPUTED_VALUE"""),69.64)</f>
        <v>69.64</v>
      </c>
      <c r="C797" s="1">
        <f>IFERROR(__xludf.DUMMYFUNCTION("""COMPUTED_VALUE"""),69.65)</f>
        <v>69.65</v>
      </c>
      <c r="D797" s="1">
        <f>IFERROR(__xludf.DUMMYFUNCTION("""COMPUTED_VALUE"""),68.5)</f>
        <v>68.5</v>
      </c>
      <c r="E797" s="1">
        <f>IFERROR(__xludf.DUMMYFUNCTION("""COMPUTED_VALUE"""),68.88)</f>
        <v>68.88</v>
      </c>
      <c r="F797" s="1">
        <f>IFERROR(__xludf.DUMMYFUNCTION("""COMPUTED_VALUE"""),56932.0)</f>
        <v>56932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IFERROR(__xludf.DUMMYFUNCTION("""COMPUTED_VALUE"""),69.01)</f>
        <v>69.01</v>
      </c>
      <c r="C798" s="1">
        <f>IFERROR(__xludf.DUMMYFUNCTION("""COMPUTED_VALUE"""),71.64)</f>
        <v>71.64</v>
      </c>
      <c r="D798" s="1">
        <f>IFERROR(__xludf.DUMMYFUNCTION("""COMPUTED_VALUE"""),69.01)</f>
        <v>69.01</v>
      </c>
      <c r="E798" s="1">
        <f>IFERROR(__xludf.DUMMYFUNCTION("""COMPUTED_VALUE"""),71.06)</f>
        <v>71.06</v>
      </c>
      <c r="F798" s="1">
        <f>IFERROR(__xludf.DUMMYFUNCTION("""COMPUTED_VALUE"""),85045.0)</f>
        <v>85045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IFERROR(__xludf.DUMMYFUNCTION("""COMPUTED_VALUE"""),71.44)</f>
        <v>71.44</v>
      </c>
      <c r="C799" s="1">
        <f>IFERROR(__xludf.DUMMYFUNCTION("""COMPUTED_VALUE"""),71.63)</f>
        <v>71.63</v>
      </c>
      <c r="D799" s="1">
        <f>IFERROR(__xludf.DUMMYFUNCTION("""COMPUTED_VALUE"""),69.93)</f>
        <v>69.93</v>
      </c>
      <c r="E799" s="1">
        <f>IFERROR(__xludf.DUMMYFUNCTION("""COMPUTED_VALUE"""),70.35)</f>
        <v>70.35</v>
      </c>
      <c r="F799" s="1">
        <f>IFERROR(__xludf.DUMMYFUNCTION("""COMPUTED_VALUE"""),39919.0)</f>
        <v>39919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IFERROR(__xludf.DUMMYFUNCTION("""COMPUTED_VALUE"""),70.08)</f>
        <v>70.08</v>
      </c>
      <c r="C800" s="1">
        <f>IFERROR(__xludf.DUMMYFUNCTION("""COMPUTED_VALUE"""),70.85)</f>
        <v>70.85</v>
      </c>
      <c r="D800" s="1">
        <f>IFERROR(__xludf.DUMMYFUNCTION("""COMPUTED_VALUE"""),69.46)</f>
        <v>69.46</v>
      </c>
      <c r="E800" s="1">
        <f>IFERROR(__xludf.DUMMYFUNCTION("""COMPUTED_VALUE"""),70.01)</f>
        <v>70.01</v>
      </c>
      <c r="F800" s="1">
        <f>IFERROR(__xludf.DUMMYFUNCTION("""COMPUTED_VALUE"""),31906.0)</f>
        <v>31906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IFERROR(__xludf.DUMMYFUNCTION("""COMPUTED_VALUE"""),70.61)</f>
        <v>70.61</v>
      </c>
      <c r="C801" s="1">
        <f>IFERROR(__xludf.DUMMYFUNCTION("""COMPUTED_VALUE"""),71.71)</f>
        <v>71.71</v>
      </c>
      <c r="D801" s="1">
        <f>IFERROR(__xludf.DUMMYFUNCTION("""COMPUTED_VALUE"""),70.01)</f>
        <v>70.01</v>
      </c>
      <c r="E801" s="1">
        <f>IFERROR(__xludf.DUMMYFUNCTION("""COMPUTED_VALUE"""),71.49)</f>
        <v>71.49</v>
      </c>
      <c r="F801" s="1">
        <f>IFERROR(__xludf.DUMMYFUNCTION("""COMPUTED_VALUE"""),38917.0)</f>
        <v>38917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IFERROR(__xludf.DUMMYFUNCTION("""COMPUTED_VALUE"""),71.2)</f>
        <v>71.2</v>
      </c>
      <c r="C802" s="1">
        <f>IFERROR(__xludf.DUMMYFUNCTION("""COMPUTED_VALUE"""),71.81)</f>
        <v>71.81</v>
      </c>
      <c r="D802" s="1">
        <f>IFERROR(__xludf.DUMMYFUNCTION("""COMPUTED_VALUE"""),70.26)</f>
        <v>70.26</v>
      </c>
      <c r="E802" s="1">
        <f>IFERROR(__xludf.DUMMYFUNCTION("""COMPUTED_VALUE"""),71.13)</f>
        <v>71.13</v>
      </c>
      <c r="F802" s="1">
        <f>IFERROR(__xludf.DUMMYFUNCTION("""COMPUTED_VALUE"""),43384.0)</f>
        <v>43384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IFERROR(__xludf.DUMMYFUNCTION("""COMPUTED_VALUE"""),70.95)</f>
        <v>70.95</v>
      </c>
      <c r="C803" s="1">
        <f>IFERROR(__xludf.DUMMYFUNCTION("""COMPUTED_VALUE"""),71.4)</f>
        <v>71.4</v>
      </c>
      <c r="D803" s="1">
        <f>IFERROR(__xludf.DUMMYFUNCTION("""COMPUTED_VALUE"""),70.14)</f>
        <v>70.14</v>
      </c>
      <c r="E803" s="1">
        <f>IFERROR(__xludf.DUMMYFUNCTION("""COMPUTED_VALUE"""),71.27)</f>
        <v>71.27</v>
      </c>
      <c r="F803" s="1">
        <f>IFERROR(__xludf.DUMMYFUNCTION("""COMPUTED_VALUE"""),25335.0)</f>
        <v>25335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IFERROR(__xludf.DUMMYFUNCTION("""COMPUTED_VALUE"""),71.21)</f>
        <v>71.21</v>
      </c>
      <c r="C804" s="1">
        <f>IFERROR(__xludf.DUMMYFUNCTION("""COMPUTED_VALUE"""),72.34)</f>
        <v>72.34</v>
      </c>
      <c r="D804" s="1">
        <f>IFERROR(__xludf.DUMMYFUNCTION("""COMPUTED_VALUE"""),71.18)</f>
        <v>71.18</v>
      </c>
      <c r="E804" s="1">
        <f>IFERROR(__xludf.DUMMYFUNCTION("""COMPUTED_VALUE"""),72.05)</f>
        <v>72.05</v>
      </c>
      <c r="F804" s="1">
        <f>IFERROR(__xludf.DUMMYFUNCTION("""COMPUTED_VALUE"""),29719.0)</f>
        <v>29719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IFERROR(__xludf.DUMMYFUNCTION("""COMPUTED_VALUE"""),71.99)</f>
        <v>71.99</v>
      </c>
      <c r="C805" s="1">
        <f>IFERROR(__xludf.DUMMYFUNCTION("""COMPUTED_VALUE"""),72.56)</f>
        <v>72.56</v>
      </c>
      <c r="D805" s="1">
        <f>IFERROR(__xludf.DUMMYFUNCTION("""COMPUTED_VALUE"""),71.64)</f>
        <v>71.64</v>
      </c>
      <c r="E805" s="1">
        <f>IFERROR(__xludf.DUMMYFUNCTION("""COMPUTED_VALUE"""),72.01)</f>
        <v>72.01</v>
      </c>
      <c r="F805" s="1">
        <f>IFERROR(__xludf.DUMMYFUNCTION("""COMPUTED_VALUE"""),24405.0)</f>
        <v>24405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IFERROR(__xludf.DUMMYFUNCTION("""COMPUTED_VALUE"""),72.17)</f>
        <v>72.17</v>
      </c>
      <c r="C806" s="1">
        <f>IFERROR(__xludf.DUMMYFUNCTION("""COMPUTED_VALUE"""),72.43)</f>
        <v>72.43</v>
      </c>
      <c r="D806" s="1">
        <f>IFERROR(__xludf.DUMMYFUNCTION("""COMPUTED_VALUE"""),71.46)</f>
        <v>71.46</v>
      </c>
      <c r="E806" s="1">
        <f>IFERROR(__xludf.DUMMYFUNCTION("""COMPUTED_VALUE"""),72.2)</f>
        <v>72.2</v>
      </c>
      <c r="F806" s="1">
        <f>IFERROR(__xludf.DUMMYFUNCTION("""COMPUTED_VALUE"""),57795.0)</f>
        <v>57795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IFERROR(__xludf.DUMMYFUNCTION("""COMPUTED_VALUE"""),71.59)</f>
        <v>71.59</v>
      </c>
      <c r="C807" s="1">
        <f>IFERROR(__xludf.DUMMYFUNCTION("""COMPUTED_VALUE"""),72.36)</f>
        <v>72.36</v>
      </c>
      <c r="D807" s="1">
        <f>IFERROR(__xludf.DUMMYFUNCTION("""COMPUTED_VALUE"""),71.12)</f>
        <v>71.12</v>
      </c>
      <c r="E807" s="1">
        <f>IFERROR(__xludf.DUMMYFUNCTION("""COMPUTED_VALUE"""),72.18)</f>
        <v>72.18</v>
      </c>
      <c r="F807" s="1">
        <f>IFERROR(__xludf.DUMMYFUNCTION("""COMPUTED_VALUE"""),28164.0)</f>
        <v>28164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IFERROR(__xludf.DUMMYFUNCTION("""COMPUTED_VALUE"""),72.45)</f>
        <v>72.45</v>
      </c>
      <c r="C808" s="1">
        <f>IFERROR(__xludf.DUMMYFUNCTION("""COMPUTED_VALUE"""),73.18)</f>
        <v>73.18</v>
      </c>
      <c r="D808" s="1">
        <f>IFERROR(__xludf.DUMMYFUNCTION("""COMPUTED_VALUE"""),72.15)</f>
        <v>72.15</v>
      </c>
      <c r="E808" s="1">
        <f>IFERROR(__xludf.DUMMYFUNCTION("""COMPUTED_VALUE"""),72.79)</f>
        <v>72.79</v>
      </c>
      <c r="F808" s="1">
        <f>IFERROR(__xludf.DUMMYFUNCTION("""COMPUTED_VALUE"""),47390.0)</f>
        <v>47390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IFERROR(__xludf.DUMMYFUNCTION("""COMPUTED_VALUE"""),72.97)</f>
        <v>72.97</v>
      </c>
      <c r="C809" s="1">
        <f>IFERROR(__xludf.DUMMYFUNCTION("""COMPUTED_VALUE"""),74.2)</f>
        <v>74.2</v>
      </c>
      <c r="D809" s="1">
        <f>IFERROR(__xludf.DUMMYFUNCTION("""COMPUTED_VALUE"""),72.88)</f>
        <v>72.88</v>
      </c>
      <c r="E809" s="1">
        <f>IFERROR(__xludf.DUMMYFUNCTION("""COMPUTED_VALUE"""),73.87)</f>
        <v>73.87</v>
      </c>
      <c r="F809" s="1">
        <f>IFERROR(__xludf.DUMMYFUNCTION("""COMPUTED_VALUE"""),26310.0)</f>
        <v>26310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IFERROR(__xludf.DUMMYFUNCTION("""COMPUTED_VALUE"""),73.24)</f>
        <v>73.24</v>
      </c>
      <c r="C810" s="1">
        <f>IFERROR(__xludf.DUMMYFUNCTION("""COMPUTED_VALUE"""),74.16)</f>
        <v>74.16</v>
      </c>
      <c r="D810" s="1">
        <f>IFERROR(__xludf.DUMMYFUNCTION("""COMPUTED_VALUE"""),72.95)</f>
        <v>72.95</v>
      </c>
      <c r="E810" s="1">
        <f>IFERROR(__xludf.DUMMYFUNCTION("""COMPUTED_VALUE"""),73.58)</f>
        <v>73.58</v>
      </c>
      <c r="F810" s="1">
        <f>IFERROR(__xludf.DUMMYFUNCTION("""COMPUTED_VALUE"""),27710.0)</f>
        <v>27710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IFERROR(__xludf.DUMMYFUNCTION("""COMPUTED_VALUE"""),73.57)</f>
        <v>73.57</v>
      </c>
      <c r="C811" s="1">
        <f>IFERROR(__xludf.DUMMYFUNCTION("""COMPUTED_VALUE"""),75.0)</f>
        <v>75</v>
      </c>
      <c r="D811" s="1">
        <f>IFERROR(__xludf.DUMMYFUNCTION("""COMPUTED_VALUE"""),73.45)</f>
        <v>73.45</v>
      </c>
      <c r="E811" s="1">
        <f>IFERROR(__xludf.DUMMYFUNCTION("""COMPUTED_VALUE"""),74.6)</f>
        <v>74.6</v>
      </c>
      <c r="F811" s="1">
        <f>IFERROR(__xludf.DUMMYFUNCTION("""COMPUTED_VALUE"""),39973.0)</f>
        <v>39973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IFERROR(__xludf.DUMMYFUNCTION("""COMPUTED_VALUE"""),75.0)</f>
        <v>75</v>
      </c>
      <c r="C812" s="1">
        <f>IFERROR(__xludf.DUMMYFUNCTION("""COMPUTED_VALUE"""),75.48)</f>
        <v>75.48</v>
      </c>
      <c r="D812" s="1">
        <f>IFERROR(__xludf.DUMMYFUNCTION("""COMPUTED_VALUE"""),74.75)</f>
        <v>74.75</v>
      </c>
      <c r="E812" s="1">
        <f>IFERROR(__xludf.DUMMYFUNCTION("""COMPUTED_VALUE"""),75.04)</f>
        <v>75.04</v>
      </c>
      <c r="F812" s="1">
        <f>IFERROR(__xludf.DUMMYFUNCTION("""COMPUTED_VALUE"""),38120.0)</f>
        <v>38120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IFERROR(__xludf.DUMMYFUNCTION("""COMPUTED_VALUE"""),75.3)</f>
        <v>75.3</v>
      </c>
      <c r="C813" s="1">
        <f>IFERROR(__xludf.DUMMYFUNCTION("""COMPUTED_VALUE"""),75.84)</f>
        <v>75.84</v>
      </c>
      <c r="D813" s="1">
        <f>IFERROR(__xludf.DUMMYFUNCTION("""COMPUTED_VALUE"""),74.73)</f>
        <v>74.73</v>
      </c>
      <c r="E813" s="1">
        <f>IFERROR(__xludf.DUMMYFUNCTION("""COMPUTED_VALUE"""),75.83)</f>
        <v>75.83</v>
      </c>
      <c r="F813" s="1">
        <f>IFERROR(__xludf.DUMMYFUNCTION("""COMPUTED_VALUE"""),37371.0)</f>
        <v>37371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IFERROR(__xludf.DUMMYFUNCTION("""COMPUTED_VALUE"""),75.27)</f>
        <v>75.27</v>
      </c>
      <c r="C814" s="1">
        <f>IFERROR(__xludf.DUMMYFUNCTION("""COMPUTED_VALUE"""),76.54)</f>
        <v>76.54</v>
      </c>
      <c r="D814" s="1">
        <f>IFERROR(__xludf.DUMMYFUNCTION("""COMPUTED_VALUE"""),74.63)</f>
        <v>74.63</v>
      </c>
      <c r="E814" s="1">
        <f>IFERROR(__xludf.DUMMYFUNCTION("""COMPUTED_VALUE"""),76.17)</f>
        <v>76.17</v>
      </c>
      <c r="F814" s="1">
        <f>IFERROR(__xludf.DUMMYFUNCTION("""COMPUTED_VALUE"""),40284.0)</f>
        <v>40284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IFERROR(__xludf.DUMMYFUNCTION("""COMPUTED_VALUE"""),76.32)</f>
        <v>76.32</v>
      </c>
      <c r="C815" s="1">
        <f>IFERROR(__xludf.DUMMYFUNCTION("""COMPUTED_VALUE"""),77.33)</f>
        <v>77.33</v>
      </c>
      <c r="D815" s="1">
        <f>IFERROR(__xludf.DUMMYFUNCTION("""COMPUTED_VALUE"""),75.68)</f>
        <v>75.68</v>
      </c>
      <c r="E815" s="1">
        <f>IFERROR(__xludf.DUMMYFUNCTION("""COMPUTED_VALUE"""),76.89)</f>
        <v>76.89</v>
      </c>
      <c r="F815" s="1">
        <f>IFERROR(__xludf.DUMMYFUNCTION("""COMPUTED_VALUE"""),32059.0)</f>
        <v>32059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IFERROR(__xludf.DUMMYFUNCTION("""COMPUTED_VALUE"""),77.04)</f>
        <v>77.04</v>
      </c>
      <c r="C816" s="1">
        <f>IFERROR(__xludf.DUMMYFUNCTION("""COMPUTED_VALUE"""),77.04)</f>
        <v>77.04</v>
      </c>
      <c r="D816" s="1">
        <f>IFERROR(__xludf.DUMMYFUNCTION("""COMPUTED_VALUE"""),74.86)</f>
        <v>74.86</v>
      </c>
      <c r="E816" s="1">
        <f>IFERROR(__xludf.DUMMYFUNCTION("""COMPUTED_VALUE"""),75.12)</f>
        <v>75.12</v>
      </c>
      <c r="F816" s="1">
        <f>IFERROR(__xludf.DUMMYFUNCTION("""COMPUTED_VALUE"""),43863.0)</f>
        <v>43863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IFERROR(__xludf.DUMMYFUNCTION("""COMPUTED_VALUE"""),75.26)</f>
        <v>75.26</v>
      </c>
      <c r="C817" s="1">
        <f>IFERROR(__xludf.DUMMYFUNCTION("""COMPUTED_VALUE"""),76.42)</f>
        <v>76.42</v>
      </c>
      <c r="D817" s="1">
        <f>IFERROR(__xludf.DUMMYFUNCTION("""COMPUTED_VALUE"""),75.16)</f>
        <v>75.16</v>
      </c>
      <c r="E817" s="1">
        <f>IFERROR(__xludf.DUMMYFUNCTION("""COMPUTED_VALUE"""),75.86)</f>
        <v>75.86</v>
      </c>
      <c r="F817" s="1">
        <f>IFERROR(__xludf.DUMMYFUNCTION("""COMPUTED_VALUE"""),66924.0)</f>
        <v>66924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IFERROR(__xludf.DUMMYFUNCTION("""COMPUTED_VALUE"""),75.95)</f>
        <v>75.95</v>
      </c>
      <c r="C818" s="1">
        <f>IFERROR(__xludf.DUMMYFUNCTION("""COMPUTED_VALUE"""),75.95)</f>
        <v>75.95</v>
      </c>
      <c r="D818" s="1">
        <f>IFERROR(__xludf.DUMMYFUNCTION("""COMPUTED_VALUE"""),74.14)</f>
        <v>74.14</v>
      </c>
      <c r="E818" s="1">
        <f>IFERROR(__xludf.DUMMYFUNCTION("""COMPUTED_VALUE"""),74.3)</f>
        <v>74.3</v>
      </c>
      <c r="F818" s="1">
        <f>IFERROR(__xludf.DUMMYFUNCTION("""COMPUTED_VALUE"""),36605.0)</f>
        <v>36605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IFERROR(__xludf.DUMMYFUNCTION("""COMPUTED_VALUE"""),74.34)</f>
        <v>74.34</v>
      </c>
      <c r="C819" s="1">
        <f>IFERROR(__xludf.DUMMYFUNCTION("""COMPUTED_VALUE"""),74.88)</f>
        <v>74.88</v>
      </c>
      <c r="D819" s="1">
        <f>IFERROR(__xludf.DUMMYFUNCTION("""COMPUTED_VALUE"""),73.98)</f>
        <v>73.98</v>
      </c>
      <c r="E819" s="1">
        <f>IFERROR(__xludf.DUMMYFUNCTION("""COMPUTED_VALUE"""),74.4)</f>
        <v>74.4</v>
      </c>
      <c r="F819" s="1">
        <f>IFERROR(__xludf.DUMMYFUNCTION("""COMPUTED_VALUE"""),95415.0)</f>
        <v>95415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IFERROR(__xludf.DUMMYFUNCTION("""COMPUTED_VALUE"""),73.3)</f>
        <v>73.3</v>
      </c>
      <c r="C820" s="1">
        <f>IFERROR(__xludf.DUMMYFUNCTION("""COMPUTED_VALUE"""),74.23)</f>
        <v>74.23</v>
      </c>
      <c r="D820" s="1">
        <f>IFERROR(__xludf.DUMMYFUNCTION("""COMPUTED_VALUE"""),73.3)</f>
        <v>73.3</v>
      </c>
      <c r="E820" s="1">
        <f>IFERROR(__xludf.DUMMYFUNCTION("""COMPUTED_VALUE"""),73.94)</f>
        <v>73.94</v>
      </c>
      <c r="F820" s="1">
        <f>IFERROR(__xludf.DUMMYFUNCTION("""COMPUTED_VALUE"""),47795.0)</f>
        <v>47795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IFERROR(__xludf.DUMMYFUNCTION("""COMPUTED_VALUE"""),74.0)</f>
        <v>74</v>
      </c>
      <c r="C821" s="1">
        <f>IFERROR(__xludf.DUMMYFUNCTION("""COMPUTED_VALUE"""),74.0)</f>
        <v>74</v>
      </c>
      <c r="D821" s="1">
        <f>IFERROR(__xludf.DUMMYFUNCTION("""COMPUTED_VALUE"""),73.24)</f>
        <v>73.24</v>
      </c>
      <c r="E821" s="1">
        <f>IFERROR(__xludf.DUMMYFUNCTION("""COMPUTED_VALUE"""),73.45)</f>
        <v>73.45</v>
      </c>
      <c r="F821" s="1">
        <f>IFERROR(__xludf.DUMMYFUNCTION("""COMPUTED_VALUE"""),50489.0)</f>
        <v>50489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IFERROR(__xludf.DUMMYFUNCTION("""COMPUTED_VALUE"""),73.47)</f>
        <v>73.47</v>
      </c>
      <c r="C822" s="1">
        <f>IFERROR(__xludf.DUMMYFUNCTION("""COMPUTED_VALUE"""),73.75)</f>
        <v>73.75</v>
      </c>
      <c r="D822" s="1">
        <f>IFERROR(__xludf.DUMMYFUNCTION("""COMPUTED_VALUE"""),72.88)</f>
        <v>72.88</v>
      </c>
      <c r="E822" s="1">
        <f>IFERROR(__xludf.DUMMYFUNCTION("""COMPUTED_VALUE"""),73.22)</f>
        <v>73.22</v>
      </c>
      <c r="F822" s="1">
        <f>IFERROR(__xludf.DUMMYFUNCTION("""COMPUTED_VALUE"""),34574.0)</f>
        <v>34574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IFERROR(__xludf.DUMMYFUNCTION("""COMPUTED_VALUE"""),73.22)</f>
        <v>73.22</v>
      </c>
      <c r="C823" s="1">
        <f>IFERROR(__xludf.DUMMYFUNCTION("""COMPUTED_VALUE"""),75.17)</f>
        <v>75.17</v>
      </c>
      <c r="D823" s="1">
        <f>IFERROR(__xludf.DUMMYFUNCTION("""COMPUTED_VALUE"""),73.02)</f>
        <v>73.02</v>
      </c>
      <c r="E823" s="1">
        <f>IFERROR(__xludf.DUMMYFUNCTION("""COMPUTED_VALUE"""),74.8)</f>
        <v>74.8</v>
      </c>
      <c r="F823" s="1">
        <f>IFERROR(__xludf.DUMMYFUNCTION("""COMPUTED_VALUE"""),72799.0)</f>
        <v>72799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IFERROR(__xludf.DUMMYFUNCTION("""COMPUTED_VALUE"""),74.77)</f>
        <v>74.77</v>
      </c>
      <c r="C824" s="1">
        <f>IFERROR(__xludf.DUMMYFUNCTION("""COMPUTED_VALUE"""),75.79)</f>
        <v>75.79</v>
      </c>
      <c r="D824" s="1">
        <f>IFERROR(__xludf.DUMMYFUNCTION("""COMPUTED_VALUE"""),74.58)</f>
        <v>74.58</v>
      </c>
      <c r="E824" s="1">
        <f>IFERROR(__xludf.DUMMYFUNCTION("""COMPUTED_VALUE"""),75.33)</f>
        <v>75.33</v>
      </c>
      <c r="F824" s="1">
        <f>IFERROR(__xludf.DUMMYFUNCTION("""COMPUTED_VALUE"""),30639.0)</f>
        <v>30639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IFERROR(__xludf.DUMMYFUNCTION("""COMPUTED_VALUE"""),75.3)</f>
        <v>75.3</v>
      </c>
      <c r="C825" s="1">
        <f>IFERROR(__xludf.DUMMYFUNCTION("""COMPUTED_VALUE"""),76.24)</f>
        <v>76.24</v>
      </c>
      <c r="D825" s="1">
        <f>IFERROR(__xludf.DUMMYFUNCTION("""COMPUTED_VALUE"""),74.75)</f>
        <v>74.75</v>
      </c>
      <c r="E825" s="1">
        <f>IFERROR(__xludf.DUMMYFUNCTION("""COMPUTED_VALUE"""),76.09)</f>
        <v>76.09</v>
      </c>
      <c r="F825" s="1">
        <f>IFERROR(__xludf.DUMMYFUNCTION("""COMPUTED_VALUE"""),44239.0)</f>
        <v>44239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IFERROR(__xludf.DUMMYFUNCTION("""COMPUTED_VALUE"""),75.97)</f>
        <v>75.97</v>
      </c>
      <c r="C826" s="1">
        <f>IFERROR(__xludf.DUMMYFUNCTION("""COMPUTED_VALUE"""),75.97)</f>
        <v>75.97</v>
      </c>
      <c r="D826" s="1">
        <f>IFERROR(__xludf.DUMMYFUNCTION("""COMPUTED_VALUE"""),73.91)</f>
        <v>73.91</v>
      </c>
      <c r="E826" s="1">
        <f>IFERROR(__xludf.DUMMYFUNCTION("""COMPUTED_VALUE"""),74.33)</f>
        <v>74.33</v>
      </c>
      <c r="F826" s="1">
        <f>IFERROR(__xludf.DUMMYFUNCTION("""COMPUTED_VALUE"""),84621.0)</f>
        <v>84621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IFERROR(__xludf.DUMMYFUNCTION("""COMPUTED_VALUE"""),74.68)</f>
        <v>74.68</v>
      </c>
      <c r="C827" s="1">
        <f>IFERROR(__xludf.DUMMYFUNCTION("""COMPUTED_VALUE"""),76.55)</f>
        <v>76.55</v>
      </c>
      <c r="D827" s="1">
        <f>IFERROR(__xludf.DUMMYFUNCTION("""COMPUTED_VALUE"""),74.44)</f>
        <v>74.44</v>
      </c>
      <c r="E827" s="1">
        <f>IFERROR(__xludf.DUMMYFUNCTION("""COMPUTED_VALUE"""),76.32)</f>
        <v>76.32</v>
      </c>
      <c r="F827" s="1">
        <f>IFERROR(__xludf.DUMMYFUNCTION("""COMPUTED_VALUE"""),37850.0)</f>
        <v>37850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IFERROR(__xludf.DUMMYFUNCTION("""COMPUTED_VALUE"""),75.62)</f>
        <v>75.62</v>
      </c>
      <c r="C828" s="1">
        <f>IFERROR(__xludf.DUMMYFUNCTION("""COMPUTED_VALUE"""),76.33)</f>
        <v>76.33</v>
      </c>
      <c r="D828" s="1">
        <f>IFERROR(__xludf.DUMMYFUNCTION("""COMPUTED_VALUE"""),73.65)</f>
        <v>73.65</v>
      </c>
      <c r="E828" s="1">
        <f>IFERROR(__xludf.DUMMYFUNCTION("""COMPUTED_VALUE"""),74.06)</f>
        <v>74.06</v>
      </c>
      <c r="F828" s="1">
        <f>IFERROR(__xludf.DUMMYFUNCTION("""COMPUTED_VALUE"""),41404.0)</f>
        <v>41404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IFERROR(__xludf.DUMMYFUNCTION("""COMPUTED_VALUE"""),74.37)</f>
        <v>74.37</v>
      </c>
      <c r="C829" s="1">
        <f>IFERROR(__xludf.DUMMYFUNCTION("""COMPUTED_VALUE"""),75.14)</f>
        <v>75.14</v>
      </c>
      <c r="D829" s="1">
        <f>IFERROR(__xludf.DUMMYFUNCTION("""COMPUTED_VALUE"""),73.78)</f>
        <v>73.78</v>
      </c>
      <c r="E829" s="1">
        <f>IFERROR(__xludf.DUMMYFUNCTION("""COMPUTED_VALUE"""),74.11)</f>
        <v>74.11</v>
      </c>
      <c r="F829" s="1">
        <f>IFERROR(__xludf.DUMMYFUNCTION("""COMPUTED_VALUE"""),24941.0)</f>
        <v>24941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IFERROR(__xludf.DUMMYFUNCTION("""COMPUTED_VALUE"""),74.1)</f>
        <v>74.1</v>
      </c>
      <c r="C830" s="1">
        <f>IFERROR(__xludf.DUMMYFUNCTION("""COMPUTED_VALUE"""),76.27)</f>
        <v>76.27</v>
      </c>
      <c r="D830" s="1">
        <f>IFERROR(__xludf.DUMMYFUNCTION("""COMPUTED_VALUE"""),74.1)</f>
        <v>74.1</v>
      </c>
      <c r="E830" s="1">
        <f>IFERROR(__xludf.DUMMYFUNCTION("""COMPUTED_VALUE"""),75.46)</f>
        <v>75.46</v>
      </c>
      <c r="F830" s="1">
        <f>IFERROR(__xludf.DUMMYFUNCTION("""COMPUTED_VALUE"""),28390.0)</f>
        <v>28390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IFERROR(__xludf.DUMMYFUNCTION("""COMPUTED_VALUE"""),75.55)</f>
        <v>75.55</v>
      </c>
      <c r="C831" s="1">
        <f>IFERROR(__xludf.DUMMYFUNCTION("""COMPUTED_VALUE"""),75.99)</f>
        <v>75.99</v>
      </c>
      <c r="D831" s="1">
        <f>IFERROR(__xludf.DUMMYFUNCTION("""COMPUTED_VALUE"""),74.77)</f>
        <v>74.77</v>
      </c>
      <c r="E831" s="1">
        <f>IFERROR(__xludf.DUMMYFUNCTION("""COMPUTED_VALUE"""),75.42)</f>
        <v>75.42</v>
      </c>
      <c r="F831" s="1">
        <f>IFERROR(__xludf.DUMMYFUNCTION("""COMPUTED_VALUE"""),44091.0)</f>
        <v>44091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IFERROR(__xludf.DUMMYFUNCTION("""COMPUTED_VALUE"""),75.89)</f>
        <v>75.89</v>
      </c>
      <c r="C832" s="1">
        <f>IFERROR(__xludf.DUMMYFUNCTION("""COMPUTED_VALUE"""),76.33)</f>
        <v>76.33</v>
      </c>
      <c r="D832" s="1">
        <f>IFERROR(__xludf.DUMMYFUNCTION("""COMPUTED_VALUE"""),75.52)</f>
        <v>75.52</v>
      </c>
      <c r="E832" s="1">
        <f>IFERROR(__xludf.DUMMYFUNCTION("""COMPUTED_VALUE"""),75.93)</f>
        <v>75.93</v>
      </c>
      <c r="F832" s="1">
        <f>IFERROR(__xludf.DUMMYFUNCTION("""COMPUTED_VALUE"""),42479.0)</f>
        <v>42479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IFERROR(__xludf.DUMMYFUNCTION("""COMPUTED_VALUE"""),75.95)</f>
        <v>75.95</v>
      </c>
      <c r="C833" s="1">
        <f>IFERROR(__xludf.DUMMYFUNCTION("""COMPUTED_VALUE"""),76.23)</f>
        <v>76.23</v>
      </c>
      <c r="D833" s="1">
        <f>IFERROR(__xludf.DUMMYFUNCTION("""COMPUTED_VALUE"""),74.87)</f>
        <v>74.87</v>
      </c>
      <c r="E833" s="1">
        <f>IFERROR(__xludf.DUMMYFUNCTION("""COMPUTED_VALUE"""),75.42)</f>
        <v>75.42</v>
      </c>
      <c r="F833" s="1">
        <f>IFERROR(__xludf.DUMMYFUNCTION("""COMPUTED_VALUE"""),26214.0)</f>
        <v>26214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IFERROR(__xludf.DUMMYFUNCTION("""COMPUTED_VALUE"""),75.67)</f>
        <v>75.67</v>
      </c>
      <c r="C834" s="1">
        <f>IFERROR(__xludf.DUMMYFUNCTION("""COMPUTED_VALUE"""),75.68)</f>
        <v>75.68</v>
      </c>
      <c r="D834" s="1">
        <f>IFERROR(__xludf.DUMMYFUNCTION("""COMPUTED_VALUE"""),74.34)</f>
        <v>74.34</v>
      </c>
      <c r="E834" s="1">
        <f>IFERROR(__xludf.DUMMYFUNCTION("""COMPUTED_VALUE"""),74.79)</f>
        <v>74.79</v>
      </c>
      <c r="F834" s="1">
        <f>IFERROR(__xludf.DUMMYFUNCTION("""COMPUTED_VALUE"""),25330.0)</f>
        <v>25330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IFERROR(__xludf.DUMMYFUNCTION("""COMPUTED_VALUE"""),74.73)</f>
        <v>74.73</v>
      </c>
      <c r="C835" s="1">
        <f>IFERROR(__xludf.DUMMYFUNCTION("""COMPUTED_VALUE"""),74.92)</f>
        <v>74.92</v>
      </c>
      <c r="D835" s="1">
        <f>IFERROR(__xludf.DUMMYFUNCTION("""COMPUTED_VALUE"""),73.16)</f>
        <v>73.16</v>
      </c>
      <c r="E835" s="1">
        <f>IFERROR(__xludf.DUMMYFUNCTION("""COMPUTED_VALUE"""),73.25)</f>
        <v>73.25</v>
      </c>
      <c r="F835" s="1">
        <f>IFERROR(__xludf.DUMMYFUNCTION("""COMPUTED_VALUE"""),60429.0)</f>
        <v>60429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IFERROR(__xludf.DUMMYFUNCTION("""COMPUTED_VALUE"""),74.16)</f>
        <v>74.16</v>
      </c>
      <c r="C836" s="1">
        <f>IFERROR(__xludf.DUMMYFUNCTION("""COMPUTED_VALUE"""),74.7)</f>
        <v>74.7</v>
      </c>
      <c r="D836" s="1">
        <f>IFERROR(__xludf.DUMMYFUNCTION("""COMPUTED_VALUE"""),72.8)</f>
        <v>72.8</v>
      </c>
      <c r="E836" s="1">
        <f>IFERROR(__xludf.DUMMYFUNCTION("""COMPUTED_VALUE"""),74.43)</f>
        <v>74.43</v>
      </c>
      <c r="F836" s="1">
        <f>IFERROR(__xludf.DUMMYFUNCTION("""COMPUTED_VALUE"""),60400.0)</f>
        <v>60400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IFERROR(__xludf.DUMMYFUNCTION("""COMPUTED_VALUE"""),74.23)</f>
        <v>74.23</v>
      </c>
      <c r="C837" s="1">
        <f>IFERROR(__xludf.DUMMYFUNCTION("""COMPUTED_VALUE"""),75.43)</f>
        <v>75.43</v>
      </c>
      <c r="D837" s="1">
        <f>IFERROR(__xludf.DUMMYFUNCTION("""COMPUTED_VALUE"""),74.07)</f>
        <v>74.07</v>
      </c>
      <c r="E837" s="1">
        <f>IFERROR(__xludf.DUMMYFUNCTION("""COMPUTED_VALUE"""),75.02)</f>
        <v>75.02</v>
      </c>
      <c r="F837" s="1">
        <f>IFERROR(__xludf.DUMMYFUNCTION("""COMPUTED_VALUE"""),37506.0)</f>
        <v>37506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IFERROR(__xludf.DUMMYFUNCTION("""COMPUTED_VALUE"""),74.68)</f>
        <v>74.68</v>
      </c>
      <c r="C838" s="1">
        <f>IFERROR(__xludf.DUMMYFUNCTION("""COMPUTED_VALUE"""),74.91)</f>
        <v>74.91</v>
      </c>
      <c r="D838" s="1">
        <f>IFERROR(__xludf.DUMMYFUNCTION("""COMPUTED_VALUE"""),72.98)</f>
        <v>72.98</v>
      </c>
      <c r="E838" s="1">
        <f>IFERROR(__xludf.DUMMYFUNCTION("""COMPUTED_VALUE"""),73.08)</f>
        <v>73.08</v>
      </c>
      <c r="F838" s="1">
        <f>IFERROR(__xludf.DUMMYFUNCTION("""COMPUTED_VALUE"""),64882.0)</f>
        <v>64882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IFERROR(__xludf.DUMMYFUNCTION("""COMPUTED_VALUE"""),73.15)</f>
        <v>73.15</v>
      </c>
      <c r="C839" s="1">
        <f>IFERROR(__xludf.DUMMYFUNCTION("""COMPUTED_VALUE"""),75.4)</f>
        <v>75.4</v>
      </c>
      <c r="D839" s="1">
        <f>IFERROR(__xludf.DUMMYFUNCTION("""COMPUTED_VALUE"""),73.15)</f>
        <v>73.15</v>
      </c>
      <c r="E839" s="1">
        <f>IFERROR(__xludf.DUMMYFUNCTION("""COMPUTED_VALUE"""),75.29)</f>
        <v>75.29</v>
      </c>
      <c r="F839" s="1">
        <f>IFERROR(__xludf.DUMMYFUNCTION("""COMPUTED_VALUE"""),55276.0)</f>
        <v>55276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IFERROR(__xludf.DUMMYFUNCTION("""COMPUTED_VALUE"""),75.88)</f>
        <v>75.88</v>
      </c>
      <c r="C840" s="1">
        <f>IFERROR(__xludf.DUMMYFUNCTION("""COMPUTED_VALUE"""),76.74)</f>
        <v>76.74</v>
      </c>
      <c r="D840" s="1">
        <f>IFERROR(__xludf.DUMMYFUNCTION("""COMPUTED_VALUE"""),75.46)</f>
        <v>75.46</v>
      </c>
      <c r="E840" s="1">
        <f>IFERROR(__xludf.DUMMYFUNCTION("""COMPUTED_VALUE"""),76.45)</f>
        <v>76.45</v>
      </c>
      <c r="F840" s="1">
        <f>IFERROR(__xludf.DUMMYFUNCTION("""COMPUTED_VALUE"""),37496.0)</f>
        <v>37496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IFERROR(__xludf.DUMMYFUNCTION("""COMPUTED_VALUE"""),76.23)</f>
        <v>76.23</v>
      </c>
      <c r="C841" s="1">
        <f>IFERROR(__xludf.DUMMYFUNCTION("""COMPUTED_VALUE"""),76.23)</f>
        <v>76.23</v>
      </c>
      <c r="D841" s="1">
        <f>IFERROR(__xludf.DUMMYFUNCTION("""COMPUTED_VALUE"""),75.06)</f>
        <v>75.06</v>
      </c>
      <c r="E841" s="1">
        <f>IFERROR(__xludf.DUMMYFUNCTION("""COMPUTED_VALUE"""),75.93)</f>
        <v>75.93</v>
      </c>
      <c r="F841" s="1">
        <f>IFERROR(__xludf.DUMMYFUNCTION("""COMPUTED_VALUE"""),14868.0)</f>
        <v>14868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IFERROR(__xludf.DUMMYFUNCTION("""COMPUTED_VALUE"""),75.93)</f>
        <v>75.93</v>
      </c>
      <c r="C842" s="1">
        <f>IFERROR(__xludf.DUMMYFUNCTION("""COMPUTED_VALUE"""),76.38)</f>
        <v>76.38</v>
      </c>
      <c r="D842" s="1">
        <f>IFERROR(__xludf.DUMMYFUNCTION("""COMPUTED_VALUE"""),75.07)</f>
        <v>75.07</v>
      </c>
      <c r="E842" s="1">
        <f>IFERROR(__xludf.DUMMYFUNCTION("""COMPUTED_VALUE"""),76.37)</f>
        <v>76.37</v>
      </c>
      <c r="F842" s="1">
        <f>IFERROR(__xludf.DUMMYFUNCTION("""COMPUTED_VALUE"""),21380.0)</f>
        <v>21380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IFERROR(__xludf.DUMMYFUNCTION("""COMPUTED_VALUE"""),76.14)</f>
        <v>76.14</v>
      </c>
      <c r="C843" s="1">
        <f>IFERROR(__xludf.DUMMYFUNCTION("""COMPUTED_VALUE"""),76.88)</f>
        <v>76.88</v>
      </c>
      <c r="D843" s="1">
        <f>IFERROR(__xludf.DUMMYFUNCTION("""COMPUTED_VALUE"""),75.67)</f>
        <v>75.67</v>
      </c>
      <c r="E843" s="1">
        <f>IFERROR(__xludf.DUMMYFUNCTION("""COMPUTED_VALUE"""),76.87)</f>
        <v>76.87</v>
      </c>
      <c r="F843" s="1">
        <f>IFERROR(__xludf.DUMMYFUNCTION("""COMPUTED_VALUE"""),68199.0)</f>
        <v>68199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IFERROR(__xludf.DUMMYFUNCTION("""COMPUTED_VALUE"""),76.75)</f>
        <v>76.75</v>
      </c>
      <c r="C844" s="1">
        <f>IFERROR(__xludf.DUMMYFUNCTION("""COMPUTED_VALUE"""),76.78)</f>
        <v>76.78</v>
      </c>
      <c r="D844" s="1">
        <f>IFERROR(__xludf.DUMMYFUNCTION("""COMPUTED_VALUE"""),75.54)</f>
        <v>75.54</v>
      </c>
      <c r="E844" s="1">
        <f>IFERROR(__xludf.DUMMYFUNCTION("""COMPUTED_VALUE"""),75.73)</f>
        <v>75.73</v>
      </c>
      <c r="F844" s="1">
        <f>IFERROR(__xludf.DUMMYFUNCTION("""COMPUTED_VALUE"""),21282.0)</f>
        <v>21282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IFERROR(__xludf.DUMMYFUNCTION("""COMPUTED_VALUE"""),75.87)</f>
        <v>75.87</v>
      </c>
      <c r="C845" s="1">
        <f>IFERROR(__xludf.DUMMYFUNCTION("""COMPUTED_VALUE"""),76.42)</f>
        <v>76.42</v>
      </c>
      <c r="D845" s="1">
        <f>IFERROR(__xludf.DUMMYFUNCTION("""COMPUTED_VALUE"""),75.7)</f>
        <v>75.7</v>
      </c>
      <c r="E845" s="1">
        <f>IFERROR(__xludf.DUMMYFUNCTION("""COMPUTED_VALUE"""),75.91)</f>
        <v>75.91</v>
      </c>
      <c r="F845" s="1">
        <f>IFERROR(__xludf.DUMMYFUNCTION("""COMPUTED_VALUE"""),15350.0)</f>
        <v>15350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IFERROR(__xludf.DUMMYFUNCTION("""COMPUTED_VALUE"""),75.85)</f>
        <v>75.85</v>
      </c>
      <c r="C846" s="1">
        <f>IFERROR(__xludf.DUMMYFUNCTION("""COMPUTED_VALUE"""),76.65)</f>
        <v>76.65</v>
      </c>
      <c r="D846" s="1">
        <f>IFERROR(__xludf.DUMMYFUNCTION("""COMPUTED_VALUE"""),75.0)</f>
        <v>75</v>
      </c>
      <c r="E846" s="1">
        <f>IFERROR(__xludf.DUMMYFUNCTION("""COMPUTED_VALUE"""),76.04)</f>
        <v>76.04</v>
      </c>
      <c r="F846" s="1">
        <f>IFERROR(__xludf.DUMMYFUNCTION("""COMPUTED_VALUE"""),20871.0)</f>
        <v>20871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IFERROR(__xludf.DUMMYFUNCTION("""COMPUTED_VALUE"""),76.22)</f>
        <v>76.22</v>
      </c>
      <c r="C847" s="1">
        <f>IFERROR(__xludf.DUMMYFUNCTION("""COMPUTED_VALUE"""),77.0)</f>
        <v>77</v>
      </c>
      <c r="D847" s="1">
        <f>IFERROR(__xludf.DUMMYFUNCTION("""COMPUTED_VALUE"""),76.22)</f>
        <v>76.22</v>
      </c>
      <c r="E847" s="1">
        <f>IFERROR(__xludf.DUMMYFUNCTION("""COMPUTED_VALUE"""),76.88)</f>
        <v>76.88</v>
      </c>
      <c r="F847" s="1">
        <f>IFERROR(__xludf.DUMMYFUNCTION("""COMPUTED_VALUE"""),69500.0)</f>
        <v>69500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IFERROR(__xludf.DUMMYFUNCTION("""COMPUTED_VALUE"""),76.83)</f>
        <v>76.83</v>
      </c>
      <c r="C848" s="1">
        <f>IFERROR(__xludf.DUMMYFUNCTION("""COMPUTED_VALUE"""),79.04)</f>
        <v>79.04</v>
      </c>
      <c r="D848" s="1">
        <f>IFERROR(__xludf.DUMMYFUNCTION("""COMPUTED_VALUE"""),76.66)</f>
        <v>76.66</v>
      </c>
      <c r="E848" s="1">
        <f>IFERROR(__xludf.DUMMYFUNCTION("""COMPUTED_VALUE"""),78.9)</f>
        <v>78.9</v>
      </c>
      <c r="F848" s="1">
        <f>IFERROR(__xludf.DUMMYFUNCTION("""COMPUTED_VALUE"""),50862.0)</f>
        <v>50862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IFERROR(__xludf.DUMMYFUNCTION("""COMPUTED_VALUE"""),78.57)</f>
        <v>78.57</v>
      </c>
      <c r="C849" s="1">
        <f>IFERROR(__xludf.DUMMYFUNCTION("""COMPUTED_VALUE"""),80.85)</f>
        <v>80.85</v>
      </c>
      <c r="D849" s="1">
        <f>IFERROR(__xludf.DUMMYFUNCTION("""COMPUTED_VALUE"""),78.21)</f>
        <v>78.21</v>
      </c>
      <c r="E849" s="1">
        <f>IFERROR(__xludf.DUMMYFUNCTION("""COMPUTED_VALUE"""),80.2)</f>
        <v>80.2</v>
      </c>
      <c r="F849" s="1">
        <f>IFERROR(__xludf.DUMMYFUNCTION("""COMPUTED_VALUE"""),73706.0)</f>
        <v>73706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IFERROR(__xludf.DUMMYFUNCTION("""COMPUTED_VALUE"""),80.26)</f>
        <v>80.26</v>
      </c>
      <c r="C850" s="1">
        <f>IFERROR(__xludf.DUMMYFUNCTION("""COMPUTED_VALUE"""),80.26)</f>
        <v>80.26</v>
      </c>
      <c r="D850" s="1">
        <f>IFERROR(__xludf.DUMMYFUNCTION("""COMPUTED_VALUE"""),79.13)</f>
        <v>79.13</v>
      </c>
      <c r="E850" s="1">
        <f>IFERROR(__xludf.DUMMYFUNCTION("""COMPUTED_VALUE"""),80.05)</f>
        <v>80.05</v>
      </c>
      <c r="F850" s="1">
        <f>IFERROR(__xludf.DUMMYFUNCTION("""COMPUTED_VALUE"""),73449.0)</f>
        <v>73449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IFERROR(__xludf.DUMMYFUNCTION("""COMPUTED_VALUE"""),79.86)</f>
        <v>79.86</v>
      </c>
      <c r="C851" s="1">
        <f>IFERROR(__xludf.DUMMYFUNCTION("""COMPUTED_VALUE"""),79.86)</f>
        <v>79.86</v>
      </c>
      <c r="D851" s="1">
        <f>IFERROR(__xludf.DUMMYFUNCTION("""COMPUTED_VALUE"""),77.67)</f>
        <v>77.67</v>
      </c>
      <c r="E851" s="1">
        <f>IFERROR(__xludf.DUMMYFUNCTION("""COMPUTED_VALUE"""),78.16)</f>
        <v>78.16</v>
      </c>
      <c r="F851" s="1">
        <f>IFERROR(__xludf.DUMMYFUNCTION("""COMPUTED_VALUE"""),43722.0)</f>
        <v>43722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IFERROR(__xludf.DUMMYFUNCTION("""COMPUTED_VALUE"""),78.1)</f>
        <v>78.1</v>
      </c>
      <c r="C852" s="1">
        <f>IFERROR(__xludf.DUMMYFUNCTION("""COMPUTED_VALUE"""),78.43)</f>
        <v>78.43</v>
      </c>
      <c r="D852" s="1">
        <f>IFERROR(__xludf.DUMMYFUNCTION("""COMPUTED_VALUE"""),77.26)</f>
        <v>77.26</v>
      </c>
      <c r="E852" s="1">
        <f>IFERROR(__xludf.DUMMYFUNCTION("""COMPUTED_VALUE"""),77.72)</f>
        <v>77.72</v>
      </c>
      <c r="F852" s="1">
        <f>IFERROR(__xludf.DUMMYFUNCTION("""COMPUTED_VALUE"""),44525.0)</f>
        <v>44525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IFERROR(__xludf.DUMMYFUNCTION("""COMPUTED_VALUE"""),77.65)</f>
        <v>77.65</v>
      </c>
      <c r="C853" s="1">
        <f>IFERROR(__xludf.DUMMYFUNCTION("""COMPUTED_VALUE"""),79.13)</f>
        <v>79.13</v>
      </c>
      <c r="D853" s="1">
        <f>IFERROR(__xludf.DUMMYFUNCTION("""COMPUTED_VALUE"""),76.43)</f>
        <v>76.43</v>
      </c>
      <c r="E853" s="1">
        <f>IFERROR(__xludf.DUMMYFUNCTION("""COMPUTED_VALUE"""),77.0)</f>
        <v>77</v>
      </c>
      <c r="F853" s="1">
        <f>IFERROR(__xludf.DUMMYFUNCTION("""COMPUTED_VALUE"""),38572.0)</f>
        <v>38572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IFERROR(__xludf.DUMMYFUNCTION("""COMPUTED_VALUE"""),76.56)</f>
        <v>76.56</v>
      </c>
      <c r="C854" s="1">
        <f>IFERROR(__xludf.DUMMYFUNCTION("""COMPUTED_VALUE"""),77.66)</f>
        <v>77.66</v>
      </c>
      <c r="D854" s="1">
        <f>IFERROR(__xludf.DUMMYFUNCTION("""COMPUTED_VALUE"""),75.62)</f>
        <v>75.62</v>
      </c>
      <c r="E854" s="1">
        <f>IFERROR(__xludf.DUMMYFUNCTION("""COMPUTED_VALUE"""),77.1)</f>
        <v>77.1</v>
      </c>
      <c r="F854" s="1">
        <f>IFERROR(__xludf.DUMMYFUNCTION("""COMPUTED_VALUE"""),28046.0)</f>
        <v>28046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IFERROR(__xludf.DUMMYFUNCTION("""COMPUTED_VALUE"""),77.09)</f>
        <v>77.09</v>
      </c>
      <c r="C855" s="1">
        <f>IFERROR(__xludf.DUMMYFUNCTION("""COMPUTED_VALUE"""),78.02)</f>
        <v>78.02</v>
      </c>
      <c r="D855" s="1">
        <f>IFERROR(__xludf.DUMMYFUNCTION("""COMPUTED_VALUE"""),75.88)</f>
        <v>75.88</v>
      </c>
      <c r="E855" s="1">
        <f>IFERROR(__xludf.DUMMYFUNCTION("""COMPUTED_VALUE"""),77.61)</f>
        <v>77.61</v>
      </c>
      <c r="F855" s="1">
        <f>IFERROR(__xludf.DUMMYFUNCTION("""COMPUTED_VALUE"""),19192.0)</f>
        <v>19192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IFERROR(__xludf.DUMMYFUNCTION("""COMPUTED_VALUE"""),77.62)</f>
        <v>77.62</v>
      </c>
      <c r="C856" s="1">
        <f>IFERROR(__xludf.DUMMYFUNCTION("""COMPUTED_VALUE"""),79.26)</f>
        <v>79.26</v>
      </c>
      <c r="D856" s="1">
        <f>IFERROR(__xludf.DUMMYFUNCTION("""COMPUTED_VALUE"""),77.62)</f>
        <v>77.62</v>
      </c>
      <c r="E856" s="1">
        <f>IFERROR(__xludf.DUMMYFUNCTION("""COMPUTED_VALUE"""),78.4)</f>
        <v>78.4</v>
      </c>
      <c r="F856" s="1">
        <f>IFERROR(__xludf.DUMMYFUNCTION("""COMPUTED_VALUE"""),69745.0)</f>
        <v>69745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IFERROR(__xludf.DUMMYFUNCTION("""COMPUTED_VALUE"""),78.01)</f>
        <v>78.01</v>
      </c>
      <c r="C857" s="1">
        <f>IFERROR(__xludf.DUMMYFUNCTION("""COMPUTED_VALUE"""),78.08)</f>
        <v>78.08</v>
      </c>
      <c r="D857" s="1">
        <f>IFERROR(__xludf.DUMMYFUNCTION("""COMPUTED_VALUE"""),76.35)</f>
        <v>76.35</v>
      </c>
      <c r="E857" s="1">
        <f>IFERROR(__xludf.DUMMYFUNCTION("""COMPUTED_VALUE"""),76.96)</f>
        <v>76.96</v>
      </c>
      <c r="F857" s="1">
        <f>IFERROR(__xludf.DUMMYFUNCTION("""COMPUTED_VALUE"""),16121.0)</f>
        <v>16121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IFERROR(__xludf.DUMMYFUNCTION("""COMPUTED_VALUE"""),77.21)</f>
        <v>77.21</v>
      </c>
      <c r="C858" s="1">
        <f>IFERROR(__xludf.DUMMYFUNCTION("""COMPUTED_VALUE"""),77.33)</f>
        <v>77.33</v>
      </c>
      <c r="D858" s="1">
        <f>IFERROR(__xludf.DUMMYFUNCTION("""COMPUTED_VALUE"""),76.38)</f>
        <v>76.38</v>
      </c>
      <c r="E858" s="1">
        <f>IFERROR(__xludf.DUMMYFUNCTION("""COMPUTED_VALUE"""),76.65)</f>
        <v>76.65</v>
      </c>
      <c r="F858" s="1">
        <f>IFERROR(__xludf.DUMMYFUNCTION("""COMPUTED_VALUE"""),23146.0)</f>
        <v>23146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IFERROR(__xludf.DUMMYFUNCTION("""COMPUTED_VALUE"""),76.06)</f>
        <v>76.06</v>
      </c>
      <c r="C859" s="1">
        <f>IFERROR(__xludf.DUMMYFUNCTION("""COMPUTED_VALUE"""),76.92)</f>
        <v>76.92</v>
      </c>
      <c r="D859" s="1">
        <f>IFERROR(__xludf.DUMMYFUNCTION("""COMPUTED_VALUE"""),75.68)</f>
        <v>75.68</v>
      </c>
      <c r="E859" s="1">
        <f>IFERROR(__xludf.DUMMYFUNCTION("""COMPUTED_VALUE"""),75.9)</f>
        <v>75.9</v>
      </c>
      <c r="F859" s="1">
        <f>IFERROR(__xludf.DUMMYFUNCTION("""COMPUTED_VALUE"""),58003.0)</f>
        <v>58003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IFERROR(__xludf.DUMMYFUNCTION("""COMPUTED_VALUE"""),75.9)</f>
        <v>75.9</v>
      </c>
      <c r="C860" s="1">
        <f>IFERROR(__xludf.DUMMYFUNCTION("""COMPUTED_VALUE"""),77.37)</f>
        <v>77.37</v>
      </c>
      <c r="D860" s="1">
        <f>IFERROR(__xludf.DUMMYFUNCTION("""COMPUTED_VALUE"""),75.08)</f>
        <v>75.08</v>
      </c>
      <c r="E860" s="1">
        <f>IFERROR(__xludf.DUMMYFUNCTION("""COMPUTED_VALUE"""),76.67)</f>
        <v>76.67</v>
      </c>
      <c r="F860" s="1">
        <f>IFERROR(__xludf.DUMMYFUNCTION("""COMPUTED_VALUE"""),82018.0)</f>
        <v>82018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IFERROR(__xludf.DUMMYFUNCTION("""COMPUTED_VALUE"""),76.8)</f>
        <v>76.8</v>
      </c>
      <c r="C861" s="1">
        <f>IFERROR(__xludf.DUMMYFUNCTION("""COMPUTED_VALUE"""),77.29)</f>
        <v>77.29</v>
      </c>
      <c r="D861" s="1">
        <f>IFERROR(__xludf.DUMMYFUNCTION("""COMPUTED_VALUE"""),75.62)</f>
        <v>75.62</v>
      </c>
      <c r="E861" s="1">
        <f>IFERROR(__xludf.DUMMYFUNCTION("""COMPUTED_VALUE"""),76.1)</f>
        <v>76.1</v>
      </c>
      <c r="F861" s="1">
        <f>IFERROR(__xludf.DUMMYFUNCTION("""COMPUTED_VALUE"""),81859.0)</f>
        <v>81859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IFERROR(__xludf.DUMMYFUNCTION("""COMPUTED_VALUE"""),76.22)</f>
        <v>76.22</v>
      </c>
      <c r="C862" s="1">
        <f>IFERROR(__xludf.DUMMYFUNCTION("""COMPUTED_VALUE"""),76.26)</f>
        <v>76.26</v>
      </c>
      <c r="D862" s="1">
        <f>IFERROR(__xludf.DUMMYFUNCTION("""COMPUTED_VALUE"""),74.62)</f>
        <v>74.62</v>
      </c>
      <c r="E862" s="1">
        <f>IFERROR(__xludf.DUMMYFUNCTION("""COMPUTED_VALUE"""),74.86)</f>
        <v>74.86</v>
      </c>
      <c r="F862" s="1">
        <f>IFERROR(__xludf.DUMMYFUNCTION("""COMPUTED_VALUE"""),55443.0)</f>
        <v>55443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IFERROR(__xludf.DUMMYFUNCTION("""COMPUTED_VALUE"""),75.02)</f>
        <v>75.02</v>
      </c>
      <c r="C863" s="1">
        <f>IFERROR(__xludf.DUMMYFUNCTION("""COMPUTED_VALUE"""),75.97)</f>
        <v>75.97</v>
      </c>
      <c r="D863" s="1">
        <f>IFERROR(__xludf.DUMMYFUNCTION("""COMPUTED_VALUE"""),73.78)</f>
        <v>73.78</v>
      </c>
      <c r="E863" s="1">
        <f>IFERROR(__xludf.DUMMYFUNCTION("""COMPUTED_VALUE"""),74.89)</f>
        <v>74.89</v>
      </c>
      <c r="F863" s="1">
        <f>IFERROR(__xludf.DUMMYFUNCTION("""COMPUTED_VALUE"""),66497.0)</f>
        <v>66497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IFERROR(__xludf.DUMMYFUNCTION("""COMPUTED_VALUE"""),75.04)</f>
        <v>75.04</v>
      </c>
      <c r="C864" s="1">
        <f>IFERROR(__xludf.DUMMYFUNCTION("""COMPUTED_VALUE"""),76.53)</f>
        <v>76.53</v>
      </c>
      <c r="D864" s="1">
        <f>IFERROR(__xludf.DUMMYFUNCTION("""COMPUTED_VALUE"""),74.91)</f>
        <v>74.91</v>
      </c>
      <c r="E864" s="1">
        <f>IFERROR(__xludf.DUMMYFUNCTION("""COMPUTED_VALUE"""),76.32)</f>
        <v>76.32</v>
      </c>
      <c r="F864" s="1">
        <f>IFERROR(__xludf.DUMMYFUNCTION("""COMPUTED_VALUE"""),39005.0)</f>
        <v>39005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IFERROR(__xludf.DUMMYFUNCTION("""COMPUTED_VALUE"""),76.37)</f>
        <v>76.37</v>
      </c>
      <c r="C865" s="1">
        <f>IFERROR(__xludf.DUMMYFUNCTION("""COMPUTED_VALUE"""),76.91)</f>
        <v>76.91</v>
      </c>
      <c r="D865" s="1">
        <f>IFERROR(__xludf.DUMMYFUNCTION("""COMPUTED_VALUE"""),75.86)</f>
        <v>75.86</v>
      </c>
      <c r="E865" s="1">
        <f>IFERROR(__xludf.DUMMYFUNCTION("""COMPUTED_VALUE"""),76.68)</f>
        <v>76.68</v>
      </c>
      <c r="F865" s="1">
        <f>IFERROR(__xludf.DUMMYFUNCTION("""COMPUTED_VALUE"""),34851.0)</f>
        <v>34851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IFERROR(__xludf.DUMMYFUNCTION("""COMPUTED_VALUE"""),75.77)</f>
        <v>75.77</v>
      </c>
      <c r="C866" s="1">
        <f>IFERROR(__xludf.DUMMYFUNCTION("""COMPUTED_VALUE"""),76.53)</f>
        <v>76.53</v>
      </c>
      <c r="D866" s="1">
        <f>IFERROR(__xludf.DUMMYFUNCTION("""COMPUTED_VALUE"""),75.22)</f>
        <v>75.22</v>
      </c>
      <c r="E866" s="1">
        <f>IFERROR(__xludf.DUMMYFUNCTION("""COMPUTED_VALUE"""),75.75)</f>
        <v>75.75</v>
      </c>
      <c r="F866" s="1">
        <f>IFERROR(__xludf.DUMMYFUNCTION("""COMPUTED_VALUE"""),42093.0)</f>
        <v>42093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IFERROR(__xludf.DUMMYFUNCTION("""COMPUTED_VALUE"""),76.4)</f>
        <v>76.4</v>
      </c>
      <c r="C867" s="1">
        <f>IFERROR(__xludf.DUMMYFUNCTION("""COMPUTED_VALUE"""),76.4)</f>
        <v>76.4</v>
      </c>
      <c r="D867" s="1">
        <f>IFERROR(__xludf.DUMMYFUNCTION("""COMPUTED_VALUE"""),75.4)</f>
        <v>75.4</v>
      </c>
      <c r="E867" s="1">
        <f>IFERROR(__xludf.DUMMYFUNCTION("""COMPUTED_VALUE"""),75.81)</f>
        <v>75.81</v>
      </c>
      <c r="F867" s="1">
        <f>IFERROR(__xludf.DUMMYFUNCTION("""COMPUTED_VALUE"""),20471.0)</f>
        <v>20471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IFERROR(__xludf.DUMMYFUNCTION("""COMPUTED_VALUE"""),75.62)</f>
        <v>75.62</v>
      </c>
      <c r="C868" s="1">
        <f>IFERROR(__xludf.DUMMYFUNCTION("""COMPUTED_VALUE"""),76.56)</f>
        <v>76.56</v>
      </c>
      <c r="D868" s="1">
        <f>IFERROR(__xludf.DUMMYFUNCTION("""COMPUTED_VALUE"""),75.11)</f>
        <v>75.11</v>
      </c>
      <c r="E868" s="1">
        <f>IFERROR(__xludf.DUMMYFUNCTION("""COMPUTED_VALUE"""),76.27)</f>
        <v>76.27</v>
      </c>
      <c r="F868" s="1">
        <f>IFERROR(__xludf.DUMMYFUNCTION("""COMPUTED_VALUE"""),24563.0)</f>
        <v>24563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IFERROR(__xludf.DUMMYFUNCTION("""COMPUTED_VALUE"""),76.39)</f>
        <v>76.39</v>
      </c>
      <c r="C869" s="1">
        <f>IFERROR(__xludf.DUMMYFUNCTION("""COMPUTED_VALUE"""),76.64)</f>
        <v>76.64</v>
      </c>
      <c r="D869" s="1">
        <f>IFERROR(__xludf.DUMMYFUNCTION("""COMPUTED_VALUE"""),74.91)</f>
        <v>74.91</v>
      </c>
      <c r="E869" s="1">
        <f>IFERROR(__xludf.DUMMYFUNCTION("""COMPUTED_VALUE"""),75.56)</f>
        <v>75.56</v>
      </c>
      <c r="F869" s="1">
        <f>IFERROR(__xludf.DUMMYFUNCTION("""COMPUTED_VALUE"""),47460.0)</f>
        <v>47460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IFERROR(__xludf.DUMMYFUNCTION("""COMPUTED_VALUE"""),75.87)</f>
        <v>75.87</v>
      </c>
      <c r="C870" s="1">
        <f>IFERROR(__xludf.DUMMYFUNCTION("""COMPUTED_VALUE"""),76.23)</f>
        <v>76.23</v>
      </c>
      <c r="D870" s="1">
        <f>IFERROR(__xludf.DUMMYFUNCTION("""COMPUTED_VALUE"""),75.62)</f>
        <v>75.62</v>
      </c>
      <c r="E870" s="1">
        <f>IFERROR(__xludf.DUMMYFUNCTION("""COMPUTED_VALUE"""),75.99)</f>
        <v>75.99</v>
      </c>
      <c r="F870" s="1">
        <f>IFERROR(__xludf.DUMMYFUNCTION("""COMPUTED_VALUE"""),37700.0)</f>
        <v>37700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IFERROR(__xludf.DUMMYFUNCTION("""COMPUTED_VALUE"""),75.9)</f>
        <v>75.9</v>
      </c>
      <c r="C871" s="1">
        <f>IFERROR(__xludf.DUMMYFUNCTION("""COMPUTED_VALUE"""),76.38)</f>
        <v>76.38</v>
      </c>
      <c r="D871" s="1">
        <f>IFERROR(__xludf.DUMMYFUNCTION("""COMPUTED_VALUE"""),75.61)</f>
        <v>75.61</v>
      </c>
      <c r="E871" s="1">
        <f>IFERROR(__xludf.DUMMYFUNCTION("""COMPUTED_VALUE"""),75.99)</f>
        <v>75.99</v>
      </c>
      <c r="F871" s="1">
        <f>IFERROR(__xludf.DUMMYFUNCTION("""COMPUTED_VALUE"""),35418.0)</f>
        <v>35418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IFERROR(__xludf.DUMMYFUNCTION("""COMPUTED_VALUE"""),76.09)</f>
        <v>76.09</v>
      </c>
      <c r="C872" s="1">
        <f>IFERROR(__xludf.DUMMYFUNCTION("""COMPUTED_VALUE"""),76.35)</f>
        <v>76.35</v>
      </c>
      <c r="D872" s="1">
        <f>IFERROR(__xludf.DUMMYFUNCTION("""COMPUTED_VALUE"""),75.27)</f>
        <v>75.27</v>
      </c>
      <c r="E872" s="1">
        <f>IFERROR(__xludf.DUMMYFUNCTION("""COMPUTED_VALUE"""),75.27)</f>
        <v>75.27</v>
      </c>
      <c r="F872" s="1">
        <f>IFERROR(__xludf.DUMMYFUNCTION("""COMPUTED_VALUE"""),39647.0)</f>
        <v>39647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IFERROR(__xludf.DUMMYFUNCTION("""COMPUTED_VALUE"""),74.58)</f>
        <v>74.58</v>
      </c>
      <c r="C873" s="1">
        <f>IFERROR(__xludf.DUMMYFUNCTION("""COMPUTED_VALUE"""),75.11)</f>
        <v>75.11</v>
      </c>
      <c r="D873" s="1">
        <f>IFERROR(__xludf.DUMMYFUNCTION("""COMPUTED_VALUE"""),73.9)</f>
        <v>73.9</v>
      </c>
      <c r="E873" s="1">
        <f>IFERROR(__xludf.DUMMYFUNCTION("""COMPUTED_VALUE"""),74.45)</f>
        <v>74.45</v>
      </c>
      <c r="F873" s="1">
        <f>IFERROR(__xludf.DUMMYFUNCTION("""COMPUTED_VALUE"""),43283.0)</f>
        <v>43283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IFERROR(__xludf.DUMMYFUNCTION("""COMPUTED_VALUE"""),74.5)</f>
        <v>74.5</v>
      </c>
      <c r="C874" s="1">
        <f>IFERROR(__xludf.DUMMYFUNCTION("""COMPUTED_VALUE"""),76.28)</f>
        <v>76.28</v>
      </c>
      <c r="D874" s="1">
        <f>IFERROR(__xludf.DUMMYFUNCTION("""COMPUTED_VALUE"""),74.5)</f>
        <v>74.5</v>
      </c>
      <c r="E874" s="1">
        <f>IFERROR(__xludf.DUMMYFUNCTION("""COMPUTED_VALUE"""),75.86)</f>
        <v>75.86</v>
      </c>
      <c r="F874" s="1">
        <f>IFERROR(__xludf.DUMMYFUNCTION("""COMPUTED_VALUE"""),108749.0)</f>
        <v>108749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IFERROR(__xludf.DUMMYFUNCTION("""COMPUTED_VALUE"""),74.75)</f>
        <v>74.75</v>
      </c>
      <c r="C875" s="1">
        <f>IFERROR(__xludf.DUMMYFUNCTION("""COMPUTED_VALUE"""),76.0)</f>
        <v>76</v>
      </c>
      <c r="D875" s="1">
        <f>IFERROR(__xludf.DUMMYFUNCTION("""COMPUTED_VALUE"""),74.01)</f>
        <v>74.01</v>
      </c>
      <c r="E875" s="1">
        <f>IFERROR(__xludf.DUMMYFUNCTION("""COMPUTED_VALUE"""),75.24)</f>
        <v>75.24</v>
      </c>
      <c r="F875" s="1">
        <f>IFERROR(__xludf.DUMMYFUNCTION("""COMPUTED_VALUE"""),63883.0)</f>
        <v>63883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IFERROR(__xludf.DUMMYFUNCTION("""COMPUTED_VALUE"""),75.59)</f>
        <v>75.59</v>
      </c>
      <c r="C876" s="1">
        <f>IFERROR(__xludf.DUMMYFUNCTION("""COMPUTED_VALUE"""),75.98)</f>
        <v>75.98</v>
      </c>
      <c r="D876" s="1">
        <f>IFERROR(__xludf.DUMMYFUNCTION("""COMPUTED_VALUE"""),74.66)</f>
        <v>74.66</v>
      </c>
      <c r="E876" s="1">
        <f>IFERROR(__xludf.DUMMYFUNCTION("""COMPUTED_VALUE"""),75.0)</f>
        <v>75</v>
      </c>
      <c r="F876" s="1">
        <f>IFERROR(__xludf.DUMMYFUNCTION("""COMPUTED_VALUE"""),39278.0)</f>
        <v>39278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IFERROR(__xludf.DUMMYFUNCTION("""COMPUTED_VALUE"""),75.28)</f>
        <v>75.28</v>
      </c>
      <c r="C877" s="1">
        <f>IFERROR(__xludf.DUMMYFUNCTION("""COMPUTED_VALUE"""),75.79)</f>
        <v>75.79</v>
      </c>
      <c r="D877" s="1">
        <f>IFERROR(__xludf.DUMMYFUNCTION("""COMPUTED_VALUE"""),74.51)</f>
        <v>74.51</v>
      </c>
      <c r="E877" s="1">
        <f>IFERROR(__xludf.DUMMYFUNCTION("""COMPUTED_VALUE"""),74.68)</f>
        <v>74.68</v>
      </c>
      <c r="F877" s="1">
        <f>IFERROR(__xludf.DUMMYFUNCTION("""COMPUTED_VALUE"""),27044.0)</f>
        <v>27044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IFERROR(__xludf.DUMMYFUNCTION("""COMPUTED_VALUE"""),74.91)</f>
        <v>74.91</v>
      </c>
      <c r="C878" s="1">
        <f>IFERROR(__xludf.DUMMYFUNCTION("""COMPUTED_VALUE"""),76.65)</f>
        <v>76.65</v>
      </c>
      <c r="D878" s="1">
        <f>IFERROR(__xludf.DUMMYFUNCTION("""COMPUTED_VALUE"""),74.91)</f>
        <v>74.91</v>
      </c>
      <c r="E878" s="1">
        <f>IFERROR(__xludf.DUMMYFUNCTION("""COMPUTED_VALUE"""),76.11)</f>
        <v>76.11</v>
      </c>
      <c r="F878" s="1">
        <f>IFERROR(__xludf.DUMMYFUNCTION("""COMPUTED_VALUE"""),47650.0)</f>
        <v>47650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IFERROR(__xludf.DUMMYFUNCTION("""COMPUTED_VALUE"""),75.78)</f>
        <v>75.78</v>
      </c>
      <c r="C879" s="1">
        <f>IFERROR(__xludf.DUMMYFUNCTION("""COMPUTED_VALUE"""),77.96)</f>
        <v>77.96</v>
      </c>
      <c r="D879" s="1">
        <f>IFERROR(__xludf.DUMMYFUNCTION("""COMPUTED_VALUE"""),75.72)</f>
        <v>75.72</v>
      </c>
      <c r="E879" s="1">
        <f>IFERROR(__xludf.DUMMYFUNCTION("""COMPUTED_VALUE"""),77.8)</f>
        <v>77.8</v>
      </c>
      <c r="F879" s="1">
        <f>IFERROR(__xludf.DUMMYFUNCTION("""COMPUTED_VALUE"""),183920.0)</f>
        <v>183920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IFERROR(__xludf.DUMMYFUNCTION("""COMPUTED_VALUE"""),77.71)</f>
        <v>77.71</v>
      </c>
      <c r="C880" s="1">
        <f>IFERROR(__xludf.DUMMYFUNCTION("""COMPUTED_VALUE"""),79.97)</f>
        <v>79.97</v>
      </c>
      <c r="D880" s="1">
        <f>IFERROR(__xludf.DUMMYFUNCTION("""COMPUTED_VALUE"""),77.32)</f>
        <v>77.32</v>
      </c>
      <c r="E880" s="1">
        <f>IFERROR(__xludf.DUMMYFUNCTION("""COMPUTED_VALUE"""),78.84)</f>
        <v>78.84</v>
      </c>
      <c r="F880" s="1">
        <f>IFERROR(__xludf.DUMMYFUNCTION("""COMPUTED_VALUE"""),52744.0)</f>
        <v>52744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IFERROR(__xludf.DUMMYFUNCTION("""COMPUTED_VALUE"""),78.42)</f>
        <v>78.42</v>
      </c>
      <c r="C881" s="1">
        <f>IFERROR(__xludf.DUMMYFUNCTION("""COMPUTED_VALUE"""),79.53)</f>
        <v>79.53</v>
      </c>
      <c r="D881" s="1">
        <f>IFERROR(__xludf.DUMMYFUNCTION("""COMPUTED_VALUE"""),77.83)</f>
        <v>77.83</v>
      </c>
      <c r="E881" s="1">
        <f>IFERROR(__xludf.DUMMYFUNCTION("""COMPUTED_VALUE"""),79.49)</f>
        <v>79.49</v>
      </c>
      <c r="F881" s="1">
        <f>IFERROR(__xludf.DUMMYFUNCTION("""COMPUTED_VALUE"""),65942.0)</f>
        <v>65942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IFERROR(__xludf.DUMMYFUNCTION("""COMPUTED_VALUE"""),78.94)</f>
        <v>78.94</v>
      </c>
      <c r="C882" s="1">
        <f>IFERROR(__xludf.DUMMYFUNCTION("""COMPUTED_VALUE"""),79.63)</f>
        <v>79.63</v>
      </c>
      <c r="D882" s="1">
        <f>IFERROR(__xludf.DUMMYFUNCTION("""COMPUTED_VALUE"""),78.79)</f>
        <v>78.79</v>
      </c>
      <c r="E882" s="1">
        <f>IFERROR(__xludf.DUMMYFUNCTION("""COMPUTED_VALUE"""),79.29)</f>
        <v>79.29</v>
      </c>
      <c r="F882" s="1">
        <f>IFERROR(__xludf.DUMMYFUNCTION("""COMPUTED_VALUE"""),15631.0)</f>
        <v>15631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IFERROR(__xludf.DUMMYFUNCTION("""COMPUTED_VALUE"""),80.5)</f>
        <v>80.5</v>
      </c>
      <c r="C883" s="1">
        <f>IFERROR(__xludf.DUMMYFUNCTION("""COMPUTED_VALUE"""),80.5)</f>
        <v>80.5</v>
      </c>
      <c r="D883" s="1">
        <f>IFERROR(__xludf.DUMMYFUNCTION("""COMPUTED_VALUE"""),78.1)</f>
        <v>78.1</v>
      </c>
      <c r="E883" s="1">
        <f>IFERROR(__xludf.DUMMYFUNCTION("""COMPUTED_VALUE"""),79.11)</f>
        <v>79.11</v>
      </c>
      <c r="F883" s="1">
        <f>IFERROR(__xludf.DUMMYFUNCTION("""COMPUTED_VALUE"""),49706.0)</f>
        <v>49706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IFERROR(__xludf.DUMMYFUNCTION("""COMPUTED_VALUE"""),79.09)</f>
        <v>79.09</v>
      </c>
      <c r="C884" s="1">
        <f>IFERROR(__xludf.DUMMYFUNCTION("""COMPUTED_VALUE"""),80.5)</f>
        <v>80.5</v>
      </c>
      <c r="D884" s="1">
        <f>IFERROR(__xludf.DUMMYFUNCTION("""COMPUTED_VALUE"""),78.79)</f>
        <v>78.79</v>
      </c>
      <c r="E884" s="1">
        <f>IFERROR(__xludf.DUMMYFUNCTION("""COMPUTED_VALUE"""),80.37)</f>
        <v>80.37</v>
      </c>
      <c r="F884" s="1">
        <f>IFERROR(__xludf.DUMMYFUNCTION("""COMPUTED_VALUE"""),32431.0)</f>
        <v>32431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IFERROR(__xludf.DUMMYFUNCTION("""COMPUTED_VALUE"""),80.47)</f>
        <v>80.47</v>
      </c>
      <c r="C885" s="1">
        <f>IFERROR(__xludf.DUMMYFUNCTION("""COMPUTED_VALUE"""),81.69)</f>
        <v>81.69</v>
      </c>
      <c r="D885" s="1">
        <f>IFERROR(__xludf.DUMMYFUNCTION("""COMPUTED_VALUE"""),80.15)</f>
        <v>80.15</v>
      </c>
      <c r="E885" s="1">
        <f>IFERROR(__xludf.DUMMYFUNCTION("""COMPUTED_VALUE"""),81.36)</f>
        <v>81.36</v>
      </c>
      <c r="F885" s="1">
        <f>IFERROR(__xludf.DUMMYFUNCTION("""COMPUTED_VALUE"""),63023.0)</f>
        <v>63023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IFERROR(__xludf.DUMMYFUNCTION("""COMPUTED_VALUE"""),81.48)</f>
        <v>81.48</v>
      </c>
      <c r="C886" s="1">
        <f>IFERROR(__xludf.DUMMYFUNCTION("""COMPUTED_VALUE"""),82.11)</f>
        <v>82.11</v>
      </c>
      <c r="D886" s="1">
        <f>IFERROR(__xludf.DUMMYFUNCTION("""COMPUTED_VALUE"""),81.06)</f>
        <v>81.06</v>
      </c>
      <c r="E886" s="1">
        <f>IFERROR(__xludf.DUMMYFUNCTION("""COMPUTED_VALUE"""),81.74)</f>
        <v>81.74</v>
      </c>
      <c r="F886" s="1">
        <f>IFERROR(__xludf.DUMMYFUNCTION("""COMPUTED_VALUE"""),62561.0)</f>
        <v>62561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IFERROR(__xludf.DUMMYFUNCTION("""COMPUTED_VALUE"""),82.08)</f>
        <v>82.08</v>
      </c>
      <c r="C887" s="1">
        <f>IFERROR(__xludf.DUMMYFUNCTION("""COMPUTED_VALUE"""),82.84)</f>
        <v>82.84</v>
      </c>
      <c r="D887" s="1">
        <f>IFERROR(__xludf.DUMMYFUNCTION("""COMPUTED_VALUE"""),81.78)</f>
        <v>81.78</v>
      </c>
      <c r="E887" s="1">
        <f>IFERROR(__xludf.DUMMYFUNCTION("""COMPUTED_VALUE"""),82.67)</f>
        <v>82.67</v>
      </c>
      <c r="F887" s="1">
        <f>IFERROR(__xludf.DUMMYFUNCTION("""COMPUTED_VALUE"""),67036.0)</f>
        <v>67036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IFERROR(__xludf.DUMMYFUNCTION("""COMPUTED_VALUE"""),82.56)</f>
        <v>82.56</v>
      </c>
      <c r="C888" s="1">
        <f>IFERROR(__xludf.DUMMYFUNCTION("""COMPUTED_VALUE"""),82.86)</f>
        <v>82.86</v>
      </c>
      <c r="D888" s="1">
        <f>IFERROR(__xludf.DUMMYFUNCTION("""COMPUTED_VALUE"""),81.87)</f>
        <v>81.87</v>
      </c>
      <c r="E888" s="1">
        <f>IFERROR(__xludf.DUMMYFUNCTION("""COMPUTED_VALUE"""),82.41)</f>
        <v>82.41</v>
      </c>
      <c r="F888" s="1">
        <f>IFERROR(__xludf.DUMMYFUNCTION("""COMPUTED_VALUE"""),36020.0)</f>
        <v>36020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IFERROR(__xludf.DUMMYFUNCTION("""COMPUTED_VALUE"""),82.63)</f>
        <v>82.63</v>
      </c>
      <c r="C889" s="1">
        <f>IFERROR(__xludf.DUMMYFUNCTION("""COMPUTED_VALUE"""),83.57)</f>
        <v>83.57</v>
      </c>
      <c r="D889" s="1">
        <f>IFERROR(__xludf.DUMMYFUNCTION("""COMPUTED_VALUE"""),81.72)</f>
        <v>81.72</v>
      </c>
      <c r="E889" s="1">
        <f>IFERROR(__xludf.DUMMYFUNCTION("""COMPUTED_VALUE"""),82.87)</f>
        <v>82.87</v>
      </c>
      <c r="F889" s="1">
        <f>IFERROR(__xludf.DUMMYFUNCTION("""COMPUTED_VALUE"""),32298.0)</f>
        <v>32298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IFERROR(__xludf.DUMMYFUNCTION("""COMPUTED_VALUE"""),82.71)</f>
        <v>82.71</v>
      </c>
      <c r="C890" s="1">
        <f>IFERROR(__xludf.DUMMYFUNCTION("""COMPUTED_VALUE"""),82.74)</f>
        <v>82.74</v>
      </c>
      <c r="D890" s="1">
        <f>IFERROR(__xludf.DUMMYFUNCTION("""COMPUTED_VALUE"""),81.9)</f>
        <v>81.9</v>
      </c>
      <c r="E890" s="1">
        <f>IFERROR(__xludf.DUMMYFUNCTION("""COMPUTED_VALUE"""),82.53)</f>
        <v>82.53</v>
      </c>
      <c r="F890" s="1">
        <f>IFERROR(__xludf.DUMMYFUNCTION("""COMPUTED_VALUE"""),56571.0)</f>
        <v>56571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IFERROR(__xludf.DUMMYFUNCTION("""COMPUTED_VALUE"""),82.48)</f>
        <v>82.48</v>
      </c>
      <c r="C891" s="1">
        <f>IFERROR(__xludf.DUMMYFUNCTION("""COMPUTED_VALUE"""),82.64)</f>
        <v>82.64</v>
      </c>
      <c r="D891" s="1">
        <f>IFERROR(__xludf.DUMMYFUNCTION("""COMPUTED_VALUE"""),81.79)</f>
        <v>81.79</v>
      </c>
      <c r="E891" s="1">
        <f>IFERROR(__xludf.DUMMYFUNCTION("""COMPUTED_VALUE"""),82.63)</f>
        <v>82.63</v>
      </c>
      <c r="F891" s="1">
        <f>IFERROR(__xludf.DUMMYFUNCTION("""COMPUTED_VALUE"""),37305.0)</f>
        <v>37305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IFERROR(__xludf.DUMMYFUNCTION("""COMPUTED_VALUE"""),82.97)</f>
        <v>82.97</v>
      </c>
      <c r="C892" s="1">
        <f>IFERROR(__xludf.DUMMYFUNCTION("""COMPUTED_VALUE"""),84.21)</f>
        <v>84.21</v>
      </c>
      <c r="D892" s="1">
        <f>IFERROR(__xludf.DUMMYFUNCTION("""COMPUTED_VALUE"""),82.61)</f>
        <v>82.61</v>
      </c>
      <c r="E892" s="1">
        <f>IFERROR(__xludf.DUMMYFUNCTION("""COMPUTED_VALUE"""),83.47)</f>
        <v>83.47</v>
      </c>
      <c r="F892" s="1">
        <f>IFERROR(__xludf.DUMMYFUNCTION("""COMPUTED_VALUE"""),56604.0)</f>
        <v>56604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IFERROR(__xludf.DUMMYFUNCTION("""COMPUTED_VALUE"""),83.52)</f>
        <v>83.52</v>
      </c>
      <c r="C893" s="1">
        <f>IFERROR(__xludf.DUMMYFUNCTION("""COMPUTED_VALUE"""),84.25)</f>
        <v>84.25</v>
      </c>
      <c r="D893" s="1">
        <f>IFERROR(__xludf.DUMMYFUNCTION("""COMPUTED_VALUE"""),83.12)</f>
        <v>83.12</v>
      </c>
      <c r="E893" s="1">
        <f>IFERROR(__xludf.DUMMYFUNCTION("""COMPUTED_VALUE"""),84.18)</f>
        <v>84.18</v>
      </c>
      <c r="F893" s="1">
        <f>IFERROR(__xludf.DUMMYFUNCTION("""COMPUTED_VALUE"""),42114.0)</f>
        <v>42114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IFERROR(__xludf.DUMMYFUNCTION("""COMPUTED_VALUE"""),83.89)</f>
        <v>83.89</v>
      </c>
      <c r="C894" s="1">
        <f>IFERROR(__xludf.DUMMYFUNCTION("""COMPUTED_VALUE"""),84.29)</f>
        <v>84.29</v>
      </c>
      <c r="D894" s="1">
        <f>IFERROR(__xludf.DUMMYFUNCTION("""COMPUTED_VALUE"""),83.69)</f>
        <v>83.69</v>
      </c>
      <c r="E894" s="1">
        <f>IFERROR(__xludf.DUMMYFUNCTION("""COMPUTED_VALUE"""),84.02)</f>
        <v>84.02</v>
      </c>
      <c r="F894" s="1">
        <f>IFERROR(__xludf.DUMMYFUNCTION("""COMPUTED_VALUE"""),37564.0)</f>
        <v>37564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IFERROR(__xludf.DUMMYFUNCTION("""COMPUTED_VALUE"""),84.34)</f>
        <v>84.34</v>
      </c>
      <c r="C895" s="1">
        <f>IFERROR(__xludf.DUMMYFUNCTION("""COMPUTED_VALUE"""),84.34)</f>
        <v>84.34</v>
      </c>
      <c r="D895" s="1">
        <f>IFERROR(__xludf.DUMMYFUNCTION("""COMPUTED_VALUE"""),83.28)</f>
        <v>83.28</v>
      </c>
      <c r="E895" s="1">
        <f>IFERROR(__xludf.DUMMYFUNCTION("""COMPUTED_VALUE"""),83.59)</f>
        <v>83.59</v>
      </c>
      <c r="F895" s="1">
        <f>IFERROR(__xludf.DUMMYFUNCTION("""COMPUTED_VALUE"""),45990.0)</f>
        <v>45990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IFERROR(__xludf.DUMMYFUNCTION("""COMPUTED_VALUE"""),83.72)</f>
        <v>83.72</v>
      </c>
      <c r="C896" s="1">
        <f>IFERROR(__xludf.DUMMYFUNCTION("""COMPUTED_VALUE"""),84.48)</f>
        <v>84.48</v>
      </c>
      <c r="D896" s="1">
        <f>IFERROR(__xludf.DUMMYFUNCTION("""COMPUTED_VALUE"""),80.4)</f>
        <v>80.4</v>
      </c>
      <c r="E896" s="1">
        <f>IFERROR(__xludf.DUMMYFUNCTION("""COMPUTED_VALUE"""),82.03)</f>
        <v>82.03</v>
      </c>
      <c r="F896" s="1">
        <f>IFERROR(__xludf.DUMMYFUNCTION("""COMPUTED_VALUE"""),93845.0)</f>
        <v>93845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IFERROR(__xludf.DUMMYFUNCTION("""COMPUTED_VALUE"""),82.01)</f>
        <v>82.01</v>
      </c>
      <c r="C897" s="1">
        <f>IFERROR(__xludf.DUMMYFUNCTION("""COMPUTED_VALUE"""),83.46)</f>
        <v>83.46</v>
      </c>
      <c r="D897" s="1">
        <f>IFERROR(__xludf.DUMMYFUNCTION("""COMPUTED_VALUE"""),81.88)</f>
        <v>81.88</v>
      </c>
      <c r="E897" s="1">
        <f>IFERROR(__xludf.DUMMYFUNCTION("""COMPUTED_VALUE"""),83.13)</f>
        <v>83.13</v>
      </c>
      <c r="F897" s="1">
        <f>IFERROR(__xludf.DUMMYFUNCTION("""COMPUTED_VALUE"""),27150.0)</f>
        <v>27150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IFERROR(__xludf.DUMMYFUNCTION("""COMPUTED_VALUE"""),82.5)</f>
        <v>82.5</v>
      </c>
      <c r="C898" s="1">
        <f>IFERROR(__xludf.DUMMYFUNCTION("""COMPUTED_VALUE"""),83.31)</f>
        <v>83.31</v>
      </c>
      <c r="D898" s="1">
        <f>IFERROR(__xludf.DUMMYFUNCTION("""COMPUTED_VALUE"""),81.8)</f>
        <v>81.8</v>
      </c>
      <c r="E898" s="1">
        <f>IFERROR(__xludf.DUMMYFUNCTION("""COMPUTED_VALUE"""),82.62)</f>
        <v>82.62</v>
      </c>
      <c r="F898" s="1">
        <f>IFERROR(__xludf.DUMMYFUNCTION("""COMPUTED_VALUE"""),45306.0)</f>
        <v>45306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IFERROR(__xludf.DUMMYFUNCTION("""COMPUTED_VALUE"""),82.59)</f>
        <v>82.59</v>
      </c>
      <c r="C899" s="1">
        <f>IFERROR(__xludf.DUMMYFUNCTION("""COMPUTED_VALUE"""),83.07)</f>
        <v>83.07</v>
      </c>
      <c r="D899" s="1">
        <f>IFERROR(__xludf.DUMMYFUNCTION("""COMPUTED_VALUE"""),81.5)</f>
        <v>81.5</v>
      </c>
      <c r="E899" s="1">
        <f>IFERROR(__xludf.DUMMYFUNCTION("""COMPUTED_VALUE"""),82.02)</f>
        <v>82.02</v>
      </c>
      <c r="F899" s="1">
        <f>IFERROR(__xludf.DUMMYFUNCTION("""COMPUTED_VALUE"""),31808.0)</f>
        <v>31808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IFERROR(__xludf.DUMMYFUNCTION("""COMPUTED_VALUE"""),81.98)</f>
        <v>81.98</v>
      </c>
      <c r="C900" s="1">
        <f>IFERROR(__xludf.DUMMYFUNCTION("""COMPUTED_VALUE"""),81.98)</f>
        <v>81.98</v>
      </c>
      <c r="D900" s="1">
        <f>IFERROR(__xludf.DUMMYFUNCTION("""COMPUTED_VALUE"""),80.5)</f>
        <v>80.5</v>
      </c>
      <c r="E900" s="1">
        <f>IFERROR(__xludf.DUMMYFUNCTION("""COMPUTED_VALUE"""),81.5)</f>
        <v>81.5</v>
      </c>
      <c r="F900" s="1">
        <f>IFERROR(__xludf.DUMMYFUNCTION("""COMPUTED_VALUE"""),23028.0)</f>
        <v>23028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IFERROR(__xludf.DUMMYFUNCTION("""COMPUTED_VALUE"""),81.55)</f>
        <v>81.55</v>
      </c>
      <c r="C901" s="1">
        <f>IFERROR(__xludf.DUMMYFUNCTION("""COMPUTED_VALUE"""),81.55)</f>
        <v>81.55</v>
      </c>
      <c r="D901" s="1">
        <f>IFERROR(__xludf.DUMMYFUNCTION("""COMPUTED_VALUE"""),79.68)</f>
        <v>79.68</v>
      </c>
      <c r="E901" s="1">
        <f>IFERROR(__xludf.DUMMYFUNCTION("""COMPUTED_VALUE"""),79.68)</f>
        <v>79.68</v>
      </c>
      <c r="F901" s="1">
        <f>IFERROR(__xludf.DUMMYFUNCTION("""COMPUTED_VALUE"""),43093.0)</f>
        <v>43093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IFERROR(__xludf.DUMMYFUNCTION("""COMPUTED_VALUE"""),80.19)</f>
        <v>80.19</v>
      </c>
      <c r="C902" s="1">
        <f>IFERROR(__xludf.DUMMYFUNCTION("""COMPUTED_VALUE"""),80.95)</f>
        <v>80.95</v>
      </c>
      <c r="D902" s="1">
        <f>IFERROR(__xludf.DUMMYFUNCTION("""COMPUTED_VALUE"""),79.9)</f>
        <v>79.9</v>
      </c>
      <c r="E902" s="1">
        <f>IFERROR(__xludf.DUMMYFUNCTION("""COMPUTED_VALUE"""),80.77)</f>
        <v>80.77</v>
      </c>
      <c r="F902" s="1">
        <f>IFERROR(__xludf.DUMMYFUNCTION("""COMPUTED_VALUE"""),50000.0)</f>
        <v>50000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IFERROR(__xludf.DUMMYFUNCTION("""COMPUTED_VALUE"""),80.34)</f>
        <v>80.34</v>
      </c>
      <c r="C903" s="1">
        <f>IFERROR(__xludf.DUMMYFUNCTION("""COMPUTED_VALUE"""),81.28)</f>
        <v>81.28</v>
      </c>
      <c r="D903" s="1">
        <f>IFERROR(__xludf.DUMMYFUNCTION("""COMPUTED_VALUE"""),79.73)</f>
        <v>79.73</v>
      </c>
      <c r="E903" s="1">
        <f>IFERROR(__xludf.DUMMYFUNCTION("""COMPUTED_VALUE"""),80.5)</f>
        <v>80.5</v>
      </c>
      <c r="F903" s="1">
        <f>IFERROR(__xludf.DUMMYFUNCTION("""COMPUTED_VALUE"""),44171.0)</f>
        <v>44171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IFERROR(__xludf.DUMMYFUNCTION("""COMPUTED_VALUE"""),80.23)</f>
        <v>80.23</v>
      </c>
      <c r="C904" s="1">
        <f>IFERROR(__xludf.DUMMYFUNCTION("""COMPUTED_VALUE"""),81.79)</f>
        <v>81.79</v>
      </c>
      <c r="D904" s="1">
        <f>IFERROR(__xludf.DUMMYFUNCTION("""COMPUTED_VALUE"""),80.23)</f>
        <v>80.23</v>
      </c>
      <c r="E904" s="1">
        <f>IFERROR(__xludf.DUMMYFUNCTION("""COMPUTED_VALUE"""),81.76)</f>
        <v>81.76</v>
      </c>
      <c r="F904" s="1">
        <f>IFERROR(__xludf.DUMMYFUNCTION("""COMPUTED_VALUE"""),34525.0)</f>
        <v>34525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IFERROR(__xludf.DUMMYFUNCTION("""COMPUTED_VALUE"""),81.5)</f>
        <v>81.5</v>
      </c>
      <c r="C905" s="1">
        <f>IFERROR(__xludf.DUMMYFUNCTION("""COMPUTED_VALUE"""),81.71)</f>
        <v>81.71</v>
      </c>
      <c r="D905" s="1">
        <f>IFERROR(__xludf.DUMMYFUNCTION("""COMPUTED_VALUE"""),81.02)</f>
        <v>81.02</v>
      </c>
      <c r="E905" s="1">
        <f>IFERROR(__xludf.DUMMYFUNCTION("""COMPUTED_VALUE"""),81.17)</f>
        <v>81.17</v>
      </c>
      <c r="F905" s="1">
        <f>IFERROR(__xludf.DUMMYFUNCTION("""COMPUTED_VALUE"""),24586.0)</f>
        <v>24586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IFERROR(__xludf.DUMMYFUNCTION("""COMPUTED_VALUE"""),80.95)</f>
        <v>80.95</v>
      </c>
      <c r="C906" s="1">
        <f>IFERROR(__xludf.DUMMYFUNCTION("""COMPUTED_VALUE"""),81.76)</f>
        <v>81.76</v>
      </c>
      <c r="D906" s="1">
        <f>IFERROR(__xludf.DUMMYFUNCTION("""COMPUTED_VALUE"""),80.05)</f>
        <v>80.05</v>
      </c>
      <c r="E906" s="1">
        <f>IFERROR(__xludf.DUMMYFUNCTION("""COMPUTED_VALUE"""),80.1)</f>
        <v>80.1</v>
      </c>
      <c r="F906" s="1">
        <f>IFERROR(__xludf.DUMMYFUNCTION("""COMPUTED_VALUE"""),29253.0)</f>
        <v>29253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IFERROR(__xludf.DUMMYFUNCTION("""COMPUTED_VALUE"""),80.4)</f>
        <v>80.4</v>
      </c>
      <c r="C907" s="1">
        <f>IFERROR(__xludf.DUMMYFUNCTION("""COMPUTED_VALUE"""),81.09)</f>
        <v>81.09</v>
      </c>
      <c r="D907" s="1">
        <f>IFERROR(__xludf.DUMMYFUNCTION("""COMPUTED_VALUE"""),79.52)</f>
        <v>79.52</v>
      </c>
      <c r="E907" s="1">
        <f>IFERROR(__xludf.DUMMYFUNCTION("""COMPUTED_VALUE"""),79.73)</f>
        <v>79.73</v>
      </c>
      <c r="F907" s="1">
        <f>IFERROR(__xludf.DUMMYFUNCTION("""COMPUTED_VALUE"""),40482.0)</f>
        <v>40482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IFERROR(__xludf.DUMMYFUNCTION("""COMPUTED_VALUE"""),79.78)</f>
        <v>79.78</v>
      </c>
      <c r="C908" s="1">
        <f>IFERROR(__xludf.DUMMYFUNCTION("""COMPUTED_VALUE"""),80.5)</f>
        <v>80.5</v>
      </c>
      <c r="D908" s="1">
        <f>IFERROR(__xludf.DUMMYFUNCTION("""COMPUTED_VALUE"""),79.59)</f>
        <v>79.59</v>
      </c>
      <c r="E908" s="1">
        <f>IFERROR(__xludf.DUMMYFUNCTION("""COMPUTED_VALUE"""),79.95)</f>
        <v>79.95</v>
      </c>
      <c r="F908" s="1">
        <f>IFERROR(__xludf.DUMMYFUNCTION("""COMPUTED_VALUE"""),11579.0)</f>
        <v>11579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IFERROR(__xludf.DUMMYFUNCTION("""COMPUTED_VALUE"""),79.6)</f>
        <v>79.6</v>
      </c>
      <c r="C909" s="1">
        <f>IFERROR(__xludf.DUMMYFUNCTION("""COMPUTED_VALUE"""),79.94)</f>
        <v>79.94</v>
      </c>
      <c r="D909" s="1">
        <f>IFERROR(__xludf.DUMMYFUNCTION("""COMPUTED_VALUE"""),78.67)</f>
        <v>78.67</v>
      </c>
      <c r="E909" s="1">
        <f>IFERROR(__xludf.DUMMYFUNCTION("""COMPUTED_VALUE"""),78.86)</f>
        <v>78.86</v>
      </c>
      <c r="F909" s="1">
        <f>IFERROR(__xludf.DUMMYFUNCTION("""COMPUTED_VALUE"""),34943.0)</f>
        <v>34943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IFERROR(__xludf.DUMMYFUNCTION("""COMPUTED_VALUE"""),79.03)</f>
        <v>79.03</v>
      </c>
      <c r="C910" s="1">
        <f>IFERROR(__xludf.DUMMYFUNCTION("""COMPUTED_VALUE"""),79.93)</f>
        <v>79.93</v>
      </c>
      <c r="D910" s="1">
        <f>IFERROR(__xludf.DUMMYFUNCTION("""COMPUTED_VALUE"""),78.73)</f>
        <v>78.73</v>
      </c>
      <c r="E910" s="1">
        <f>IFERROR(__xludf.DUMMYFUNCTION("""COMPUTED_VALUE"""),78.95)</f>
        <v>78.95</v>
      </c>
      <c r="F910" s="1">
        <f>IFERROR(__xludf.DUMMYFUNCTION("""COMPUTED_VALUE"""),8610.0)</f>
        <v>8610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IFERROR(__xludf.DUMMYFUNCTION("""COMPUTED_VALUE"""),79.19)</f>
        <v>79.19</v>
      </c>
      <c r="C911" s="1">
        <f>IFERROR(__xludf.DUMMYFUNCTION("""COMPUTED_VALUE"""),79.29)</f>
        <v>79.29</v>
      </c>
      <c r="D911" s="1">
        <f>IFERROR(__xludf.DUMMYFUNCTION("""COMPUTED_VALUE"""),78.07)</f>
        <v>78.07</v>
      </c>
      <c r="E911" s="1">
        <f>IFERROR(__xludf.DUMMYFUNCTION("""COMPUTED_VALUE"""),78.23)</f>
        <v>78.23</v>
      </c>
      <c r="F911" s="1">
        <f>IFERROR(__xludf.DUMMYFUNCTION("""COMPUTED_VALUE"""),25136.0)</f>
        <v>25136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IFERROR(__xludf.DUMMYFUNCTION("""COMPUTED_VALUE"""),77.41)</f>
        <v>77.41</v>
      </c>
      <c r="C912" s="1">
        <f>IFERROR(__xludf.DUMMYFUNCTION("""COMPUTED_VALUE"""),77.41)</f>
        <v>77.41</v>
      </c>
      <c r="D912" s="1">
        <f>IFERROR(__xludf.DUMMYFUNCTION("""COMPUTED_VALUE"""),74.63)</f>
        <v>74.63</v>
      </c>
      <c r="E912" s="1">
        <f>IFERROR(__xludf.DUMMYFUNCTION("""COMPUTED_VALUE"""),75.15)</f>
        <v>75.15</v>
      </c>
      <c r="F912" s="1">
        <f>IFERROR(__xludf.DUMMYFUNCTION("""COMPUTED_VALUE"""),54570.0)</f>
        <v>54570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IFERROR(__xludf.DUMMYFUNCTION("""COMPUTED_VALUE"""),74.87)</f>
        <v>74.87</v>
      </c>
      <c r="C913" s="1">
        <f>IFERROR(__xludf.DUMMYFUNCTION("""COMPUTED_VALUE"""),77.28)</f>
        <v>77.28</v>
      </c>
      <c r="D913" s="1">
        <f>IFERROR(__xludf.DUMMYFUNCTION("""COMPUTED_VALUE"""),74.87)</f>
        <v>74.87</v>
      </c>
      <c r="E913" s="1">
        <f>IFERROR(__xludf.DUMMYFUNCTION("""COMPUTED_VALUE"""),77.26)</f>
        <v>77.26</v>
      </c>
      <c r="F913" s="1">
        <f>IFERROR(__xludf.DUMMYFUNCTION("""COMPUTED_VALUE"""),146614.0)</f>
        <v>146614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IFERROR(__xludf.DUMMYFUNCTION("""COMPUTED_VALUE"""),76.79)</f>
        <v>76.79</v>
      </c>
      <c r="C914" s="1">
        <f>IFERROR(__xludf.DUMMYFUNCTION("""COMPUTED_VALUE"""),77.57)</f>
        <v>77.57</v>
      </c>
      <c r="D914" s="1">
        <f>IFERROR(__xludf.DUMMYFUNCTION("""COMPUTED_VALUE"""),76.74)</f>
        <v>76.74</v>
      </c>
      <c r="E914" s="1">
        <f>IFERROR(__xludf.DUMMYFUNCTION("""COMPUTED_VALUE"""),76.97)</f>
        <v>76.97</v>
      </c>
      <c r="F914" s="1">
        <f>IFERROR(__xludf.DUMMYFUNCTION("""COMPUTED_VALUE"""),27606.0)</f>
        <v>27606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IFERROR(__xludf.DUMMYFUNCTION("""COMPUTED_VALUE"""),77.26)</f>
        <v>77.26</v>
      </c>
      <c r="C915" s="1">
        <f>IFERROR(__xludf.DUMMYFUNCTION("""COMPUTED_VALUE"""),78.28)</f>
        <v>78.28</v>
      </c>
      <c r="D915" s="1">
        <f>IFERROR(__xludf.DUMMYFUNCTION("""COMPUTED_VALUE"""),76.89)</f>
        <v>76.89</v>
      </c>
      <c r="E915" s="1">
        <f>IFERROR(__xludf.DUMMYFUNCTION("""COMPUTED_VALUE"""),78.16)</f>
        <v>78.16</v>
      </c>
      <c r="F915" s="1">
        <f>IFERROR(__xludf.DUMMYFUNCTION("""COMPUTED_VALUE"""),23611.0)</f>
        <v>23611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IFERROR(__xludf.DUMMYFUNCTION("""COMPUTED_VALUE"""),77.79)</f>
        <v>77.79</v>
      </c>
      <c r="C916" s="1">
        <f>IFERROR(__xludf.DUMMYFUNCTION("""COMPUTED_VALUE"""),78.14)</f>
        <v>78.14</v>
      </c>
      <c r="D916" s="1">
        <f>IFERROR(__xludf.DUMMYFUNCTION("""COMPUTED_VALUE"""),76.76)</f>
        <v>76.76</v>
      </c>
      <c r="E916" s="1">
        <f>IFERROR(__xludf.DUMMYFUNCTION("""COMPUTED_VALUE"""),77.25)</f>
        <v>77.25</v>
      </c>
      <c r="F916" s="1">
        <f>IFERROR(__xludf.DUMMYFUNCTION("""COMPUTED_VALUE"""),19322.0)</f>
        <v>19322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IFERROR(__xludf.DUMMYFUNCTION("""COMPUTED_VALUE"""),77.64)</f>
        <v>77.64</v>
      </c>
      <c r="C917" s="1">
        <f>IFERROR(__xludf.DUMMYFUNCTION("""COMPUTED_VALUE"""),80.0)</f>
        <v>80</v>
      </c>
      <c r="D917" s="1">
        <f>IFERROR(__xludf.DUMMYFUNCTION("""COMPUTED_VALUE"""),77.25)</f>
        <v>77.25</v>
      </c>
      <c r="E917" s="1">
        <f>IFERROR(__xludf.DUMMYFUNCTION("""COMPUTED_VALUE"""),78.9)</f>
        <v>78.9</v>
      </c>
      <c r="F917" s="1">
        <f>IFERROR(__xludf.DUMMYFUNCTION("""COMPUTED_VALUE"""),26863.0)</f>
        <v>26863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IFERROR(__xludf.DUMMYFUNCTION("""COMPUTED_VALUE"""),78.74)</f>
        <v>78.74</v>
      </c>
      <c r="C918" s="1">
        <f>IFERROR(__xludf.DUMMYFUNCTION("""COMPUTED_VALUE"""),78.89)</f>
        <v>78.89</v>
      </c>
      <c r="D918" s="1">
        <f>IFERROR(__xludf.DUMMYFUNCTION("""COMPUTED_VALUE"""),78.28)</f>
        <v>78.28</v>
      </c>
      <c r="E918" s="1">
        <f>IFERROR(__xludf.DUMMYFUNCTION("""COMPUTED_VALUE"""),78.89)</f>
        <v>78.89</v>
      </c>
      <c r="F918" s="1">
        <f>IFERROR(__xludf.DUMMYFUNCTION("""COMPUTED_VALUE"""),22762.0)</f>
        <v>22762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IFERROR(__xludf.DUMMYFUNCTION("""COMPUTED_VALUE"""),79.16)</f>
        <v>79.16</v>
      </c>
      <c r="C919" s="1">
        <f>IFERROR(__xludf.DUMMYFUNCTION("""COMPUTED_VALUE"""),79.43)</f>
        <v>79.43</v>
      </c>
      <c r="D919" s="1">
        <f>IFERROR(__xludf.DUMMYFUNCTION("""COMPUTED_VALUE"""),77.69)</f>
        <v>77.69</v>
      </c>
      <c r="E919" s="1">
        <f>IFERROR(__xludf.DUMMYFUNCTION("""COMPUTED_VALUE"""),78.1)</f>
        <v>78.1</v>
      </c>
      <c r="F919" s="1">
        <f>IFERROR(__xludf.DUMMYFUNCTION("""COMPUTED_VALUE"""),71146.0)</f>
        <v>71146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IFERROR(__xludf.DUMMYFUNCTION("""COMPUTED_VALUE"""),77.29)</f>
        <v>77.29</v>
      </c>
      <c r="C920" s="1">
        <f>IFERROR(__xludf.DUMMYFUNCTION("""COMPUTED_VALUE"""),77.29)</f>
        <v>77.29</v>
      </c>
      <c r="D920" s="1">
        <f>IFERROR(__xludf.DUMMYFUNCTION("""COMPUTED_VALUE"""),75.89)</f>
        <v>75.89</v>
      </c>
      <c r="E920" s="1">
        <f>IFERROR(__xludf.DUMMYFUNCTION("""COMPUTED_VALUE"""),76.85)</f>
        <v>76.85</v>
      </c>
      <c r="F920" s="1">
        <f>IFERROR(__xludf.DUMMYFUNCTION("""COMPUTED_VALUE"""),27939.0)</f>
        <v>27939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IFERROR(__xludf.DUMMYFUNCTION("""COMPUTED_VALUE"""),76.78)</f>
        <v>76.78</v>
      </c>
      <c r="C921" s="1">
        <f>IFERROR(__xludf.DUMMYFUNCTION("""COMPUTED_VALUE"""),77.06)</f>
        <v>77.06</v>
      </c>
      <c r="D921" s="1">
        <f>IFERROR(__xludf.DUMMYFUNCTION("""COMPUTED_VALUE"""),76.47)</f>
        <v>76.47</v>
      </c>
      <c r="E921" s="1">
        <f>IFERROR(__xludf.DUMMYFUNCTION("""COMPUTED_VALUE"""),76.86)</f>
        <v>76.86</v>
      </c>
      <c r="F921" s="1">
        <f>IFERROR(__xludf.DUMMYFUNCTION("""COMPUTED_VALUE"""),28012.0)</f>
        <v>28012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IFERROR(__xludf.DUMMYFUNCTION("""COMPUTED_VALUE"""),76.8)</f>
        <v>76.8</v>
      </c>
      <c r="C922" s="1">
        <f>IFERROR(__xludf.DUMMYFUNCTION("""COMPUTED_VALUE"""),78.0)</f>
        <v>78</v>
      </c>
      <c r="D922" s="1">
        <f>IFERROR(__xludf.DUMMYFUNCTION("""COMPUTED_VALUE"""),76.76)</f>
        <v>76.76</v>
      </c>
      <c r="E922" s="1">
        <f>IFERROR(__xludf.DUMMYFUNCTION("""COMPUTED_VALUE"""),77.62)</f>
        <v>77.62</v>
      </c>
      <c r="F922" s="1">
        <f>IFERROR(__xludf.DUMMYFUNCTION("""COMPUTED_VALUE"""),21071.0)</f>
        <v>21071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IFERROR(__xludf.DUMMYFUNCTION("""COMPUTED_VALUE"""),77.33)</f>
        <v>77.33</v>
      </c>
      <c r="C923" s="1">
        <f>IFERROR(__xludf.DUMMYFUNCTION("""COMPUTED_VALUE"""),77.38)</f>
        <v>77.38</v>
      </c>
      <c r="D923" s="1">
        <f>IFERROR(__xludf.DUMMYFUNCTION("""COMPUTED_VALUE"""),76.33)</f>
        <v>76.33</v>
      </c>
      <c r="E923" s="1">
        <f>IFERROR(__xludf.DUMMYFUNCTION("""COMPUTED_VALUE"""),76.92)</f>
        <v>76.92</v>
      </c>
      <c r="F923" s="1">
        <f>IFERROR(__xludf.DUMMYFUNCTION("""COMPUTED_VALUE"""),38901.0)</f>
        <v>38901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IFERROR(__xludf.DUMMYFUNCTION("""COMPUTED_VALUE"""),77.78)</f>
        <v>77.78</v>
      </c>
      <c r="C924" s="1">
        <f>IFERROR(__xludf.DUMMYFUNCTION("""COMPUTED_VALUE"""),77.85)</f>
        <v>77.85</v>
      </c>
      <c r="D924" s="1">
        <f>IFERROR(__xludf.DUMMYFUNCTION("""COMPUTED_VALUE"""),76.44)</f>
        <v>76.44</v>
      </c>
      <c r="E924" s="1">
        <f>IFERROR(__xludf.DUMMYFUNCTION("""COMPUTED_VALUE"""),76.88)</f>
        <v>76.88</v>
      </c>
      <c r="F924" s="1">
        <f>IFERROR(__xludf.DUMMYFUNCTION("""COMPUTED_VALUE"""),21005.0)</f>
        <v>21005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IFERROR(__xludf.DUMMYFUNCTION("""COMPUTED_VALUE"""),77.04)</f>
        <v>77.04</v>
      </c>
      <c r="C925" s="1">
        <f>IFERROR(__xludf.DUMMYFUNCTION("""COMPUTED_VALUE"""),77.04)</f>
        <v>77.04</v>
      </c>
      <c r="D925" s="1">
        <f>IFERROR(__xludf.DUMMYFUNCTION("""COMPUTED_VALUE"""),75.36)</f>
        <v>75.36</v>
      </c>
      <c r="E925" s="1">
        <f>IFERROR(__xludf.DUMMYFUNCTION("""COMPUTED_VALUE"""),76.59)</f>
        <v>76.59</v>
      </c>
      <c r="F925" s="1">
        <f>IFERROR(__xludf.DUMMYFUNCTION("""COMPUTED_VALUE"""),69694.0)</f>
        <v>69694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IFERROR(__xludf.DUMMYFUNCTION("""COMPUTED_VALUE"""),76.79)</f>
        <v>76.79</v>
      </c>
      <c r="C926" s="1">
        <f>IFERROR(__xludf.DUMMYFUNCTION("""COMPUTED_VALUE"""),77.16)</f>
        <v>77.16</v>
      </c>
      <c r="D926" s="1">
        <f>IFERROR(__xludf.DUMMYFUNCTION("""COMPUTED_VALUE"""),76.06)</f>
        <v>76.06</v>
      </c>
      <c r="E926" s="1">
        <f>IFERROR(__xludf.DUMMYFUNCTION("""COMPUTED_VALUE"""),76.24)</f>
        <v>76.24</v>
      </c>
      <c r="F926" s="1">
        <f>IFERROR(__xludf.DUMMYFUNCTION("""COMPUTED_VALUE"""),11918.0)</f>
        <v>11918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IFERROR(__xludf.DUMMYFUNCTION("""COMPUTED_VALUE"""),76.45)</f>
        <v>76.45</v>
      </c>
      <c r="C927" s="1">
        <f>IFERROR(__xludf.DUMMYFUNCTION("""COMPUTED_VALUE"""),76.45)</f>
        <v>76.45</v>
      </c>
      <c r="D927" s="1">
        <f>IFERROR(__xludf.DUMMYFUNCTION("""COMPUTED_VALUE"""),74.72)</f>
        <v>74.72</v>
      </c>
      <c r="E927" s="1">
        <f>IFERROR(__xludf.DUMMYFUNCTION("""COMPUTED_VALUE"""),75.79)</f>
        <v>75.79</v>
      </c>
      <c r="F927" s="1">
        <f>IFERROR(__xludf.DUMMYFUNCTION("""COMPUTED_VALUE"""),14906.0)</f>
        <v>14906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IFERROR(__xludf.DUMMYFUNCTION("""COMPUTED_VALUE"""),76.19)</f>
        <v>76.19</v>
      </c>
      <c r="C928" s="1">
        <f>IFERROR(__xludf.DUMMYFUNCTION("""COMPUTED_VALUE"""),76.53)</f>
        <v>76.53</v>
      </c>
      <c r="D928" s="1">
        <f>IFERROR(__xludf.DUMMYFUNCTION("""COMPUTED_VALUE"""),75.59)</f>
        <v>75.59</v>
      </c>
      <c r="E928" s="1">
        <f>IFERROR(__xludf.DUMMYFUNCTION("""COMPUTED_VALUE"""),76.31)</f>
        <v>76.31</v>
      </c>
      <c r="F928" s="1">
        <f>IFERROR(__xludf.DUMMYFUNCTION("""COMPUTED_VALUE"""),22529.0)</f>
        <v>22529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IFERROR(__xludf.DUMMYFUNCTION("""COMPUTED_VALUE"""),76.82)</f>
        <v>76.82</v>
      </c>
      <c r="C929" s="1">
        <f>IFERROR(__xludf.DUMMYFUNCTION("""COMPUTED_VALUE"""),76.82)</f>
        <v>76.82</v>
      </c>
      <c r="D929" s="1">
        <f>IFERROR(__xludf.DUMMYFUNCTION("""COMPUTED_VALUE"""),75.41)</f>
        <v>75.41</v>
      </c>
      <c r="E929" s="1">
        <f>IFERROR(__xludf.DUMMYFUNCTION("""COMPUTED_VALUE"""),76.45)</f>
        <v>76.45</v>
      </c>
      <c r="F929" s="1">
        <f>IFERROR(__xludf.DUMMYFUNCTION("""COMPUTED_VALUE"""),53769.0)</f>
        <v>53769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IFERROR(__xludf.DUMMYFUNCTION("""COMPUTED_VALUE"""),76.27)</f>
        <v>76.27</v>
      </c>
      <c r="C930" s="1">
        <f>IFERROR(__xludf.DUMMYFUNCTION("""COMPUTED_VALUE"""),77.58)</f>
        <v>77.58</v>
      </c>
      <c r="D930" s="1">
        <f>IFERROR(__xludf.DUMMYFUNCTION("""COMPUTED_VALUE"""),76.27)</f>
        <v>76.27</v>
      </c>
      <c r="E930" s="1">
        <f>IFERROR(__xludf.DUMMYFUNCTION("""COMPUTED_VALUE"""),77.36)</f>
        <v>77.36</v>
      </c>
      <c r="F930" s="1">
        <f>IFERROR(__xludf.DUMMYFUNCTION("""COMPUTED_VALUE"""),20390.0)</f>
        <v>20390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IFERROR(__xludf.DUMMYFUNCTION("""COMPUTED_VALUE"""),77.77)</f>
        <v>77.77</v>
      </c>
      <c r="C931" s="1">
        <f>IFERROR(__xludf.DUMMYFUNCTION("""COMPUTED_VALUE"""),78.15)</f>
        <v>78.15</v>
      </c>
      <c r="D931" s="1">
        <f>IFERROR(__xludf.DUMMYFUNCTION("""COMPUTED_VALUE"""),77.44)</f>
        <v>77.44</v>
      </c>
      <c r="E931" s="1">
        <f>IFERROR(__xludf.DUMMYFUNCTION("""COMPUTED_VALUE"""),77.5)</f>
        <v>77.5</v>
      </c>
      <c r="F931" s="1">
        <f>IFERROR(__xludf.DUMMYFUNCTION("""COMPUTED_VALUE"""),23785.0)</f>
        <v>23785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IFERROR(__xludf.DUMMYFUNCTION("""COMPUTED_VALUE"""),77.9)</f>
        <v>77.9</v>
      </c>
      <c r="C932" s="1">
        <f>IFERROR(__xludf.DUMMYFUNCTION("""COMPUTED_VALUE"""),78.4)</f>
        <v>78.4</v>
      </c>
      <c r="D932" s="1">
        <f>IFERROR(__xludf.DUMMYFUNCTION("""COMPUTED_VALUE"""),77.5)</f>
        <v>77.5</v>
      </c>
      <c r="E932" s="1">
        <f>IFERROR(__xludf.DUMMYFUNCTION("""COMPUTED_VALUE"""),78.23)</f>
        <v>78.23</v>
      </c>
      <c r="F932" s="1">
        <f>IFERROR(__xludf.DUMMYFUNCTION("""COMPUTED_VALUE"""),12267.0)</f>
        <v>12267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IFERROR(__xludf.DUMMYFUNCTION("""COMPUTED_VALUE"""),78.8)</f>
        <v>78.8</v>
      </c>
      <c r="C933" s="1">
        <f>IFERROR(__xludf.DUMMYFUNCTION("""COMPUTED_VALUE"""),78.87)</f>
        <v>78.87</v>
      </c>
      <c r="D933" s="1">
        <f>IFERROR(__xludf.DUMMYFUNCTION("""COMPUTED_VALUE"""),77.86)</f>
        <v>77.86</v>
      </c>
      <c r="E933" s="1">
        <f>IFERROR(__xludf.DUMMYFUNCTION("""COMPUTED_VALUE"""),78.01)</f>
        <v>78.01</v>
      </c>
      <c r="F933" s="1">
        <f>IFERROR(__xludf.DUMMYFUNCTION("""COMPUTED_VALUE"""),25378.0)</f>
        <v>25378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IFERROR(__xludf.DUMMYFUNCTION("""COMPUTED_VALUE"""),78.25)</f>
        <v>78.25</v>
      </c>
      <c r="C934" s="1">
        <f>IFERROR(__xludf.DUMMYFUNCTION("""COMPUTED_VALUE"""),79.52)</f>
        <v>79.52</v>
      </c>
      <c r="D934" s="1">
        <f>IFERROR(__xludf.DUMMYFUNCTION("""COMPUTED_VALUE"""),78.25)</f>
        <v>78.25</v>
      </c>
      <c r="E934" s="1">
        <f>IFERROR(__xludf.DUMMYFUNCTION("""COMPUTED_VALUE"""),79.45)</f>
        <v>79.45</v>
      </c>
      <c r="F934" s="1">
        <f>IFERROR(__xludf.DUMMYFUNCTION("""COMPUTED_VALUE"""),32671.0)</f>
        <v>32671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IFERROR(__xludf.DUMMYFUNCTION("""COMPUTED_VALUE"""),79.43)</f>
        <v>79.43</v>
      </c>
      <c r="C935" s="1">
        <f>IFERROR(__xludf.DUMMYFUNCTION("""COMPUTED_VALUE"""),80.5)</f>
        <v>80.5</v>
      </c>
      <c r="D935" s="1">
        <f>IFERROR(__xludf.DUMMYFUNCTION("""COMPUTED_VALUE"""),79.08)</f>
        <v>79.08</v>
      </c>
      <c r="E935" s="1">
        <f>IFERROR(__xludf.DUMMYFUNCTION("""COMPUTED_VALUE"""),80.33)</f>
        <v>80.33</v>
      </c>
      <c r="F935" s="1">
        <f>IFERROR(__xludf.DUMMYFUNCTION("""COMPUTED_VALUE"""),32173.0)</f>
        <v>32173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IFERROR(__xludf.DUMMYFUNCTION("""COMPUTED_VALUE"""),80.57)</f>
        <v>80.57</v>
      </c>
      <c r="C936" s="1">
        <f>IFERROR(__xludf.DUMMYFUNCTION("""COMPUTED_VALUE"""),80.79)</f>
        <v>80.79</v>
      </c>
      <c r="D936" s="1">
        <f>IFERROR(__xludf.DUMMYFUNCTION("""COMPUTED_VALUE"""),79.49)</f>
        <v>79.49</v>
      </c>
      <c r="E936" s="1">
        <f>IFERROR(__xludf.DUMMYFUNCTION("""COMPUTED_VALUE"""),80.03)</f>
        <v>80.03</v>
      </c>
      <c r="F936" s="1">
        <f>IFERROR(__xludf.DUMMYFUNCTION("""COMPUTED_VALUE"""),22005.0)</f>
        <v>22005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IFERROR(__xludf.DUMMYFUNCTION("""COMPUTED_VALUE"""),79.83)</f>
        <v>79.83</v>
      </c>
      <c r="C937" s="1">
        <f>IFERROR(__xludf.DUMMYFUNCTION("""COMPUTED_VALUE"""),80.86)</f>
        <v>80.86</v>
      </c>
      <c r="D937" s="1">
        <f>IFERROR(__xludf.DUMMYFUNCTION("""COMPUTED_VALUE"""),79.31)</f>
        <v>79.31</v>
      </c>
      <c r="E937" s="1">
        <f>IFERROR(__xludf.DUMMYFUNCTION("""COMPUTED_VALUE"""),80.3)</f>
        <v>80.3</v>
      </c>
      <c r="F937" s="1">
        <f>IFERROR(__xludf.DUMMYFUNCTION("""COMPUTED_VALUE"""),113966.0)</f>
        <v>113966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IFERROR(__xludf.DUMMYFUNCTION("""COMPUTED_VALUE"""),80.69)</f>
        <v>80.69</v>
      </c>
      <c r="C938" s="1">
        <f>IFERROR(__xludf.DUMMYFUNCTION("""COMPUTED_VALUE"""),80.75)</f>
        <v>80.75</v>
      </c>
      <c r="D938" s="1">
        <f>IFERROR(__xludf.DUMMYFUNCTION("""COMPUTED_VALUE"""),80.1)</f>
        <v>80.1</v>
      </c>
      <c r="E938" s="1">
        <f>IFERROR(__xludf.DUMMYFUNCTION("""COMPUTED_VALUE"""),80.66)</f>
        <v>80.66</v>
      </c>
      <c r="F938" s="1">
        <f>IFERROR(__xludf.DUMMYFUNCTION("""COMPUTED_VALUE"""),18092.0)</f>
        <v>18092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IFERROR(__xludf.DUMMYFUNCTION("""COMPUTED_VALUE"""),80.96)</f>
        <v>80.96</v>
      </c>
      <c r="C939" s="1">
        <f>IFERROR(__xludf.DUMMYFUNCTION("""COMPUTED_VALUE"""),81.44)</f>
        <v>81.44</v>
      </c>
      <c r="D939" s="1">
        <f>IFERROR(__xludf.DUMMYFUNCTION("""COMPUTED_VALUE"""),79.5)</f>
        <v>79.5</v>
      </c>
      <c r="E939" s="1">
        <f>IFERROR(__xludf.DUMMYFUNCTION("""COMPUTED_VALUE"""),81.28)</f>
        <v>81.28</v>
      </c>
      <c r="F939" s="1">
        <f>IFERROR(__xludf.DUMMYFUNCTION("""COMPUTED_VALUE"""),38013.0)</f>
        <v>38013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IFERROR(__xludf.DUMMYFUNCTION("""COMPUTED_VALUE"""),81.39)</f>
        <v>81.39</v>
      </c>
      <c r="C940" s="1">
        <f>IFERROR(__xludf.DUMMYFUNCTION("""COMPUTED_VALUE"""),81.73)</f>
        <v>81.73</v>
      </c>
      <c r="D940" s="1">
        <f>IFERROR(__xludf.DUMMYFUNCTION("""COMPUTED_VALUE"""),80.33)</f>
        <v>80.33</v>
      </c>
      <c r="E940" s="1">
        <f>IFERROR(__xludf.DUMMYFUNCTION("""COMPUTED_VALUE"""),80.51)</f>
        <v>80.51</v>
      </c>
      <c r="F940" s="1">
        <f>IFERROR(__xludf.DUMMYFUNCTION("""COMPUTED_VALUE"""),44209.0)</f>
        <v>44209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IFERROR(__xludf.DUMMYFUNCTION("""COMPUTED_VALUE"""),80.92)</f>
        <v>80.92</v>
      </c>
      <c r="C941" s="1">
        <f>IFERROR(__xludf.DUMMYFUNCTION("""COMPUTED_VALUE"""),81.64)</f>
        <v>81.64</v>
      </c>
      <c r="D941" s="1">
        <f>IFERROR(__xludf.DUMMYFUNCTION("""COMPUTED_VALUE"""),80.19)</f>
        <v>80.19</v>
      </c>
      <c r="E941" s="1">
        <f>IFERROR(__xludf.DUMMYFUNCTION("""COMPUTED_VALUE"""),81.61)</f>
        <v>81.61</v>
      </c>
      <c r="F941" s="1">
        <f>IFERROR(__xludf.DUMMYFUNCTION("""COMPUTED_VALUE"""),32563.0)</f>
        <v>32563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IFERROR(__xludf.DUMMYFUNCTION("""COMPUTED_VALUE"""),81.1)</f>
        <v>81.1</v>
      </c>
      <c r="C942" s="1">
        <f>IFERROR(__xludf.DUMMYFUNCTION("""COMPUTED_VALUE"""),81.22)</f>
        <v>81.22</v>
      </c>
      <c r="D942" s="1">
        <f>IFERROR(__xludf.DUMMYFUNCTION("""COMPUTED_VALUE"""),80.54)</f>
        <v>80.54</v>
      </c>
      <c r="E942" s="1">
        <f>IFERROR(__xludf.DUMMYFUNCTION("""COMPUTED_VALUE"""),80.79)</f>
        <v>80.79</v>
      </c>
      <c r="F942" s="1">
        <f>IFERROR(__xludf.DUMMYFUNCTION("""COMPUTED_VALUE"""),32558.0)</f>
        <v>32558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IFERROR(__xludf.DUMMYFUNCTION("""COMPUTED_VALUE"""),79.82)</f>
        <v>79.82</v>
      </c>
      <c r="C943" s="1">
        <f>IFERROR(__xludf.DUMMYFUNCTION("""COMPUTED_VALUE"""),80.88)</f>
        <v>80.88</v>
      </c>
      <c r="D943" s="1">
        <f>IFERROR(__xludf.DUMMYFUNCTION("""COMPUTED_VALUE"""),79.29)</f>
        <v>79.29</v>
      </c>
      <c r="E943" s="1">
        <f>IFERROR(__xludf.DUMMYFUNCTION("""COMPUTED_VALUE"""),80.72)</f>
        <v>80.72</v>
      </c>
      <c r="F943" s="1">
        <f>IFERROR(__xludf.DUMMYFUNCTION("""COMPUTED_VALUE"""),51615.0)</f>
        <v>51615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IFERROR(__xludf.DUMMYFUNCTION("""COMPUTED_VALUE"""),80.46)</f>
        <v>80.46</v>
      </c>
      <c r="C944" s="1">
        <f>IFERROR(__xludf.DUMMYFUNCTION("""COMPUTED_VALUE"""),81.03)</f>
        <v>81.03</v>
      </c>
      <c r="D944" s="1">
        <f>IFERROR(__xludf.DUMMYFUNCTION("""COMPUTED_VALUE"""),78.68)</f>
        <v>78.68</v>
      </c>
      <c r="E944" s="1">
        <f>IFERROR(__xludf.DUMMYFUNCTION("""COMPUTED_VALUE"""),80.7)</f>
        <v>80.7</v>
      </c>
      <c r="F944" s="1">
        <f>IFERROR(__xludf.DUMMYFUNCTION("""COMPUTED_VALUE"""),75056.0)</f>
        <v>75056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IFERROR(__xludf.DUMMYFUNCTION("""COMPUTED_VALUE"""),80.23)</f>
        <v>80.23</v>
      </c>
      <c r="C945" s="1">
        <f>IFERROR(__xludf.DUMMYFUNCTION("""COMPUTED_VALUE"""),80.53)</f>
        <v>80.53</v>
      </c>
      <c r="D945" s="1">
        <f>IFERROR(__xludf.DUMMYFUNCTION("""COMPUTED_VALUE"""),79.69)</f>
        <v>79.69</v>
      </c>
      <c r="E945" s="1">
        <f>IFERROR(__xludf.DUMMYFUNCTION("""COMPUTED_VALUE"""),80.07)</f>
        <v>80.07</v>
      </c>
      <c r="F945" s="1">
        <f>IFERROR(__xludf.DUMMYFUNCTION("""COMPUTED_VALUE"""),37193.0)</f>
        <v>37193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IFERROR(__xludf.DUMMYFUNCTION("""COMPUTED_VALUE"""),79.79)</f>
        <v>79.79</v>
      </c>
      <c r="C946" s="1">
        <f>IFERROR(__xludf.DUMMYFUNCTION("""COMPUTED_VALUE"""),80.39)</f>
        <v>80.39</v>
      </c>
      <c r="D946" s="1">
        <f>IFERROR(__xludf.DUMMYFUNCTION("""COMPUTED_VALUE"""),78.13)</f>
        <v>78.13</v>
      </c>
      <c r="E946" s="1">
        <f>IFERROR(__xludf.DUMMYFUNCTION("""COMPUTED_VALUE"""),79.45)</f>
        <v>79.45</v>
      </c>
      <c r="F946" s="1">
        <f>IFERROR(__xludf.DUMMYFUNCTION("""COMPUTED_VALUE"""),50191.0)</f>
        <v>50191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IFERROR(__xludf.DUMMYFUNCTION("""COMPUTED_VALUE"""),79.44)</f>
        <v>79.44</v>
      </c>
      <c r="C947" s="1">
        <f>IFERROR(__xludf.DUMMYFUNCTION("""COMPUTED_VALUE"""),80.54)</f>
        <v>80.54</v>
      </c>
      <c r="D947" s="1">
        <f>IFERROR(__xludf.DUMMYFUNCTION("""COMPUTED_VALUE"""),78.27)</f>
        <v>78.27</v>
      </c>
      <c r="E947" s="1">
        <f>IFERROR(__xludf.DUMMYFUNCTION("""COMPUTED_VALUE"""),79.63)</f>
        <v>79.63</v>
      </c>
      <c r="F947" s="1">
        <f>IFERROR(__xludf.DUMMYFUNCTION("""COMPUTED_VALUE"""),29741.0)</f>
        <v>29741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IFERROR(__xludf.DUMMYFUNCTION("""COMPUTED_VALUE"""),79.2)</f>
        <v>79.2</v>
      </c>
      <c r="C948" s="1">
        <f>IFERROR(__xludf.DUMMYFUNCTION("""COMPUTED_VALUE"""),79.97)</f>
        <v>79.97</v>
      </c>
      <c r="D948" s="1">
        <f>IFERROR(__xludf.DUMMYFUNCTION("""COMPUTED_VALUE"""),78.62)</f>
        <v>78.62</v>
      </c>
      <c r="E948" s="1">
        <f>IFERROR(__xludf.DUMMYFUNCTION("""COMPUTED_VALUE"""),79.32)</f>
        <v>79.32</v>
      </c>
      <c r="F948" s="1">
        <f>IFERROR(__xludf.DUMMYFUNCTION("""COMPUTED_VALUE"""),26797.0)</f>
        <v>26797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IFERROR(__xludf.DUMMYFUNCTION("""COMPUTED_VALUE"""),79.56)</f>
        <v>79.56</v>
      </c>
      <c r="C949" s="1">
        <f>IFERROR(__xludf.DUMMYFUNCTION("""COMPUTED_VALUE"""),80.04)</f>
        <v>80.04</v>
      </c>
      <c r="D949" s="1">
        <f>IFERROR(__xludf.DUMMYFUNCTION("""COMPUTED_VALUE"""),78.71)</f>
        <v>78.71</v>
      </c>
      <c r="E949" s="1">
        <f>IFERROR(__xludf.DUMMYFUNCTION("""COMPUTED_VALUE"""),79.19)</f>
        <v>79.19</v>
      </c>
      <c r="F949" s="1">
        <f>IFERROR(__xludf.DUMMYFUNCTION("""COMPUTED_VALUE"""),48981.0)</f>
        <v>48981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IFERROR(__xludf.DUMMYFUNCTION("""COMPUTED_VALUE"""),79.21)</f>
        <v>79.21</v>
      </c>
      <c r="C950" s="1">
        <f>IFERROR(__xludf.DUMMYFUNCTION("""COMPUTED_VALUE"""),80.1)</f>
        <v>80.1</v>
      </c>
      <c r="D950" s="1">
        <f>IFERROR(__xludf.DUMMYFUNCTION("""COMPUTED_VALUE"""),78.95)</f>
        <v>78.95</v>
      </c>
      <c r="E950" s="1">
        <f>IFERROR(__xludf.DUMMYFUNCTION("""COMPUTED_VALUE"""),79.36)</f>
        <v>79.36</v>
      </c>
      <c r="F950" s="1">
        <f>IFERROR(__xludf.DUMMYFUNCTION("""COMPUTED_VALUE"""),38810.0)</f>
        <v>38810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IFERROR(__xludf.DUMMYFUNCTION("""COMPUTED_VALUE"""),80.43)</f>
        <v>80.43</v>
      </c>
      <c r="C951" s="1">
        <f>IFERROR(__xludf.DUMMYFUNCTION("""COMPUTED_VALUE"""),81.19)</f>
        <v>81.19</v>
      </c>
      <c r="D951" s="1">
        <f>IFERROR(__xludf.DUMMYFUNCTION("""COMPUTED_VALUE"""),79.58)</f>
        <v>79.58</v>
      </c>
      <c r="E951" s="1">
        <f>IFERROR(__xludf.DUMMYFUNCTION("""COMPUTED_VALUE"""),80.0)</f>
        <v>80</v>
      </c>
      <c r="F951" s="1">
        <f>IFERROR(__xludf.DUMMYFUNCTION("""COMPUTED_VALUE"""),60874.0)</f>
        <v>60874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IFERROR(__xludf.DUMMYFUNCTION("""COMPUTED_VALUE"""),79.46)</f>
        <v>79.46</v>
      </c>
      <c r="C952" s="1">
        <f>IFERROR(__xludf.DUMMYFUNCTION("""COMPUTED_VALUE"""),82.0)</f>
        <v>82</v>
      </c>
      <c r="D952" s="1">
        <f>IFERROR(__xludf.DUMMYFUNCTION("""COMPUTED_VALUE"""),79.46)</f>
        <v>79.46</v>
      </c>
      <c r="E952" s="1">
        <f>IFERROR(__xludf.DUMMYFUNCTION("""COMPUTED_VALUE"""),82.0)</f>
        <v>82</v>
      </c>
      <c r="F952" s="1">
        <f>IFERROR(__xludf.DUMMYFUNCTION("""COMPUTED_VALUE"""),30535.0)</f>
        <v>30535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IFERROR(__xludf.DUMMYFUNCTION("""COMPUTED_VALUE"""),81.39)</f>
        <v>81.39</v>
      </c>
      <c r="C953" s="1">
        <f>IFERROR(__xludf.DUMMYFUNCTION("""COMPUTED_VALUE"""),82.78)</f>
        <v>82.78</v>
      </c>
      <c r="D953" s="1">
        <f>IFERROR(__xludf.DUMMYFUNCTION("""COMPUTED_VALUE"""),81.11)</f>
        <v>81.11</v>
      </c>
      <c r="E953" s="1">
        <f>IFERROR(__xludf.DUMMYFUNCTION("""COMPUTED_VALUE"""),82.74)</f>
        <v>82.74</v>
      </c>
      <c r="F953" s="1">
        <f>IFERROR(__xludf.DUMMYFUNCTION("""COMPUTED_VALUE"""),27025.0)</f>
        <v>27025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IFERROR(__xludf.DUMMYFUNCTION("""COMPUTED_VALUE"""),82.78)</f>
        <v>82.78</v>
      </c>
      <c r="C954" s="1">
        <f>IFERROR(__xludf.DUMMYFUNCTION("""COMPUTED_VALUE"""),83.63)</f>
        <v>83.63</v>
      </c>
      <c r="D954" s="1">
        <f>IFERROR(__xludf.DUMMYFUNCTION("""COMPUTED_VALUE"""),81.74)</f>
        <v>81.74</v>
      </c>
      <c r="E954" s="1">
        <f>IFERROR(__xludf.DUMMYFUNCTION("""COMPUTED_VALUE"""),83.04)</f>
        <v>83.04</v>
      </c>
      <c r="F954" s="1">
        <f>IFERROR(__xludf.DUMMYFUNCTION("""COMPUTED_VALUE"""),45610.0)</f>
        <v>45610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IFERROR(__xludf.DUMMYFUNCTION("""COMPUTED_VALUE"""),83.8)</f>
        <v>83.8</v>
      </c>
      <c r="C955" s="1">
        <f>IFERROR(__xludf.DUMMYFUNCTION("""COMPUTED_VALUE"""),85.18)</f>
        <v>85.18</v>
      </c>
      <c r="D955" s="1">
        <f>IFERROR(__xludf.DUMMYFUNCTION("""COMPUTED_VALUE"""),82.7)</f>
        <v>82.7</v>
      </c>
      <c r="E955" s="1">
        <f>IFERROR(__xludf.DUMMYFUNCTION("""COMPUTED_VALUE"""),84.59)</f>
        <v>84.59</v>
      </c>
      <c r="F955" s="1">
        <f>IFERROR(__xludf.DUMMYFUNCTION("""COMPUTED_VALUE"""),30149.0)</f>
        <v>30149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IFERROR(__xludf.DUMMYFUNCTION("""COMPUTED_VALUE"""),84.07)</f>
        <v>84.07</v>
      </c>
      <c r="C956" s="1">
        <f>IFERROR(__xludf.DUMMYFUNCTION("""COMPUTED_VALUE"""),85.14)</f>
        <v>85.14</v>
      </c>
      <c r="D956" s="1">
        <f>IFERROR(__xludf.DUMMYFUNCTION("""COMPUTED_VALUE"""),83.79)</f>
        <v>83.79</v>
      </c>
      <c r="E956" s="1">
        <f>IFERROR(__xludf.DUMMYFUNCTION("""COMPUTED_VALUE"""),84.61)</f>
        <v>84.61</v>
      </c>
      <c r="F956" s="1">
        <f>IFERROR(__xludf.DUMMYFUNCTION("""COMPUTED_VALUE"""),49566.0)</f>
        <v>49566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IFERROR(__xludf.DUMMYFUNCTION("""COMPUTED_VALUE"""),85.3)</f>
        <v>85.3</v>
      </c>
      <c r="C957" s="1">
        <f>IFERROR(__xludf.DUMMYFUNCTION("""COMPUTED_VALUE"""),85.45)</f>
        <v>85.45</v>
      </c>
      <c r="D957" s="1">
        <f>IFERROR(__xludf.DUMMYFUNCTION("""COMPUTED_VALUE"""),84.0)</f>
        <v>84</v>
      </c>
      <c r="E957" s="1">
        <f>IFERROR(__xludf.DUMMYFUNCTION("""COMPUTED_VALUE"""),84.73)</f>
        <v>84.73</v>
      </c>
      <c r="F957" s="1">
        <f>IFERROR(__xludf.DUMMYFUNCTION("""COMPUTED_VALUE"""),152018.0)</f>
        <v>152018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IFERROR(__xludf.DUMMYFUNCTION("""COMPUTED_VALUE"""),84.57)</f>
        <v>84.57</v>
      </c>
      <c r="C958" s="1">
        <f>IFERROR(__xludf.DUMMYFUNCTION("""COMPUTED_VALUE"""),84.92)</f>
        <v>84.92</v>
      </c>
      <c r="D958" s="1">
        <f>IFERROR(__xludf.DUMMYFUNCTION("""COMPUTED_VALUE"""),84.21)</f>
        <v>84.21</v>
      </c>
      <c r="E958" s="1">
        <f>IFERROR(__xludf.DUMMYFUNCTION("""COMPUTED_VALUE"""),84.3)</f>
        <v>84.3</v>
      </c>
      <c r="F958" s="1">
        <f>IFERROR(__xludf.DUMMYFUNCTION("""COMPUTED_VALUE"""),34049.0)</f>
        <v>34049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IFERROR(__xludf.DUMMYFUNCTION("""COMPUTED_VALUE"""),84.8)</f>
        <v>84.8</v>
      </c>
      <c r="C959" s="1">
        <f>IFERROR(__xludf.DUMMYFUNCTION("""COMPUTED_VALUE"""),86.02)</f>
        <v>86.02</v>
      </c>
      <c r="D959" s="1">
        <f>IFERROR(__xludf.DUMMYFUNCTION("""COMPUTED_VALUE"""),84.53)</f>
        <v>84.53</v>
      </c>
      <c r="E959" s="1">
        <f>IFERROR(__xludf.DUMMYFUNCTION("""COMPUTED_VALUE"""),85.8)</f>
        <v>85.8</v>
      </c>
      <c r="F959" s="1">
        <f>IFERROR(__xludf.DUMMYFUNCTION("""COMPUTED_VALUE"""),21586.0)</f>
        <v>21586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IFERROR(__xludf.DUMMYFUNCTION("""COMPUTED_VALUE"""),85.48)</f>
        <v>85.48</v>
      </c>
      <c r="C960" s="1">
        <f>IFERROR(__xludf.DUMMYFUNCTION("""COMPUTED_VALUE"""),86.11)</f>
        <v>86.11</v>
      </c>
      <c r="D960" s="1">
        <f>IFERROR(__xludf.DUMMYFUNCTION("""COMPUTED_VALUE"""),84.67)</f>
        <v>84.67</v>
      </c>
      <c r="E960" s="1">
        <f>IFERROR(__xludf.DUMMYFUNCTION("""COMPUTED_VALUE"""),85.62)</f>
        <v>85.62</v>
      </c>
      <c r="F960" s="1">
        <f>IFERROR(__xludf.DUMMYFUNCTION("""COMPUTED_VALUE"""),40421.0)</f>
        <v>40421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IFERROR(__xludf.DUMMYFUNCTION("""COMPUTED_VALUE"""),86.1)</f>
        <v>86.1</v>
      </c>
      <c r="C961" s="1">
        <f>IFERROR(__xludf.DUMMYFUNCTION("""COMPUTED_VALUE"""),86.1)</f>
        <v>86.1</v>
      </c>
      <c r="D961" s="1">
        <f>IFERROR(__xludf.DUMMYFUNCTION("""COMPUTED_VALUE"""),84.75)</f>
        <v>84.75</v>
      </c>
      <c r="E961" s="1">
        <f>IFERROR(__xludf.DUMMYFUNCTION("""COMPUTED_VALUE"""),85.84)</f>
        <v>85.84</v>
      </c>
      <c r="F961" s="1">
        <f>IFERROR(__xludf.DUMMYFUNCTION("""COMPUTED_VALUE"""),34415.0)</f>
        <v>34415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IFERROR(__xludf.DUMMYFUNCTION("""COMPUTED_VALUE"""),86.16)</f>
        <v>86.16</v>
      </c>
      <c r="C962" s="1">
        <f>IFERROR(__xludf.DUMMYFUNCTION("""COMPUTED_VALUE"""),86.16)</f>
        <v>86.16</v>
      </c>
      <c r="D962" s="1">
        <f>IFERROR(__xludf.DUMMYFUNCTION("""COMPUTED_VALUE"""),85.06)</f>
        <v>85.06</v>
      </c>
      <c r="E962" s="1">
        <f>IFERROR(__xludf.DUMMYFUNCTION("""COMPUTED_VALUE"""),85.73)</f>
        <v>85.73</v>
      </c>
      <c r="F962" s="1">
        <f>IFERROR(__xludf.DUMMYFUNCTION("""COMPUTED_VALUE"""),21315.0)</f>
        <v>21315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IFERROR(__xludf.DUMMYFUNCTION("""COMPUTED_VALUE"""),86.02)</f>
        <v>86.02</v>
      </c>
      <c r="C963" s="1">
        <f>IFERROR(__xludf.DUMMYFUNCTION("""COMPUTED_VALUE"""),87.4)</f>
        <v>87.4</v>
      </c>
      <c r="D963" s="1">
        <f>IFERROR(__xludf.DUMMYFUNCTION("""COMPUTED_VALUE"""),86.02)</f>
        <v>86.02</v>
      </c>
      <c r="E963" s="1">
        <f>IFERROR(__xludf.DUMMYFUNCTION("""COMPUTED_VALUE"""),86.82)</f>
        <v>86.82</v>
      </c>
      <c r="F963" s="1">
        <f>IFERROR(__xludf.DUMMYFUNCTION("""COMPUTED_VALUE"""),26501.0)</f>
        <v>26501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IFERROR(__xludf.DUMMYFUNCTION("""COMPUTED_VALUE"""),86.94)</f>
        <v>86.94</v>
      </c>
      <c r="C964" s="1">
        <f>IFERROR(__xludf.DUMMYFUNCTION("""COMPUTED_VALUE"""),87.71)</f>
        <v>87.71</v>
      </c>
      <c r="D964" s="1">
        <f>IFERROR(__xludf.DUMMYFUNCTION("""COMPUTED_VALUE"""),85.78)</f>
        <v>85.78</v>
      </c>
      <c r="E964" s="1">
        <f>IFERROR(__xludf.DUMMYFUNCTION("""COMPUTED_VALUE"""),87.28)</f>
        <v>87.28</v>
      </c>
      <c r="F964" s="1">
        <f>IFERROR(__xludf.DUMMYFUNCTION("""COMPUTED_VALUE"""),22695.0)</f>
        <v>22695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IFERROR(__xludf.DUMMYFUNCTION("""COMPUTED_VALUE"""),87.13)</f>
        <v>87.13</v>
      </c>
      <c r="C965" s="1">
        <f>IFERROR(__xludf.DUMMYFUNCTION("""COMPUTED_VALUE"""),87.13)</f>
        <v>87.13</v>
      </c>
      <c r="D965" s="1">
        <f>IFERROR(__xludf.DUMMYFUNCTION("""COMPUTED_VALUE"""),86.09)</f>
        <v>86.09</v>
      </c>
      <c r="E965" s="1">
        <f>IFERROR(__xludf.DUMMYFUNCTION("""COMPUTED_VALUE"""),86.17)</f>
        <v>86.17</v>
      </c>
      <c r="F965" s="1">
        <f>IFERROR(__xludf.DUMMYFUNCTION("""COMPUTED_VALUE"""),21578.0)</f>
        <v>21578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IFERROR(__xludf.DUMMYFUNCTION("""COMPUTED_VALUE"""),86.13)</f>
        <v>86.13</v>
      </c>
      <c r="C966" s="1">
        <f>IFERROR(__xludf.DUMMYFUNCTION("""COMPUTED_VALUE"""),86.32)</f>
        <v>86.32</v>
      </c>
      <c r="D966" s="1">
        <f>IFERROR(__xludf.DUMMYFUNCTION("""COMPUTED_VALUE"""),85.48)</f>
        <v>85.48</v>
      </c>
      <c r="E966" s="1">
        <f>IFERROR(__xludf.DUMMYFUNCTION("""COMPUTED_VALUE"""),85.57)</f>
        <v>85.57</v>
      </c>
      <c r="F966" s="1">
        <f>IFERROR(__xludf.DUMMYFUNCTION("""COMPUTED_VALUE"""),24786.0)</f>
        <v>24786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IFERROR(__xludf.DUMMYFUNCTION("""COMPUTED_VALUE"""),85.43)</f>
        <v>85.43</v>
      </c>
      <c r="C967" s="1">
        <f>IFERROR(__xludf.DUMMYFUNCTION("""COMPUTED_VALUE"""),86.15)</f>
        <v>86.15</v>
      </c>
      <c r="D967" s="1">
        <f>IFERROR(__xludf.DUMMYFUNCTION("""COMPUTED_VALUE"""),83.84)</f>
        <v>83.84</v>
      </c>
      <c r="E967" s="1">
        <f>IFERROR(__xludf.DUMMYFUNCTION("""COMPUTED_VALUE"""),84.8)</f>
        <v>84.8</v>
      </c>
      <c r="F967" s="1">
        <f>IFERROR(__xludf.DUMMYFUNCTION("""COMPUTED_VALUE"""),40780.0)</f>
        <v>40780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IFERROR(__xludf.DUMMYFUNCTION("""COMPUTED_VALUE"""),85.27)</f>
        <v>85.27</v>
      </c>
      <c r="C968" s="1">
        <f>IFERROR(__xludf.DUMMYFUNCTION("""COMPUTED_VALUE"""),85.27)</f>
        <v>85.27</v>
      </c>
      <c r="D968" s="1">
        <f>IFERROR(__xludf.DUMMYFUNCTION("""COMPUTED_VALUE"""),84.24)</f>
        <v>84.24</v>
      </c>
      <c r="E968" s="1">
        <f>IFERROR(__xludf.DUMMYFUNCTION("""COMPUTED_VALUE"""),84.84)</f>
        <v>84.84</v>
      </c>
      <c r="F968" s="1">
        <f>IFERROR(__xludf.DUMMYFUNCTION("""COMPUTED_VALUE"""),45237.0)</f>
        <v>45237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IFERROR(__xludf.DUMMYFUNCTION("""COMPUTED_VALUE"""),84.66)</f>
        <v>84.66</v>
      </c>
      <c r="C969" s="1">
        <f>IFERROR(__xludf.DUMMYFUNCTION("""COMPUTED_VALUE"""),85.38)</f>
        <v>85.38</v>
      </c>
      <c r="D969" s="1">
        <f>IFERROR(__xludf.DUMMYFUNCTION("""COMPUTED_VALUE"""),84.16)</f>
        <v>84.16</v>
      </c>
      <c r="E969" s="1">
        <f>IFERROR(__xludf.DUMMYFUNCTION("""COMPUTED_VALUE"""),84.77)</f>
        <v>84.77</v>
      </c>
      <c r="F969" s="1">
        <f>IFERROR(__xludf.DUMMYFUNCTION("""COMPUTED_VALUE"""),17536.0)</f>
        <v>17536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IFERROR(__xludf.DUMMYFUNCTION("""COMPUTED_VALUE"""),84.97)</f>
        <v>84.97</v>
      </c>
      <c r="C970" s="1">
        <f>IFERROR(__xludf.DUMMYFUNCTION("""COMPUTED_VALUE"""),85.17)</f>
        <v>85.17</v>
      </c>
      <c r="D970" s="1">
        <f>IFERROR(__xludf.DUMMYFUNCTION("""COMPUTED_VALUE"""),84.41)</f>
        <v>84.41</v>
      </c>
      <c r="E970" s="1">
        <f>IFERROR(__xludf.DUMMYFUNCTION("""COMPUTED_VALUE"""),84.91)</f>
        <v>84.91</v>
      </c>
      <c r="F970" s="1">
        <f>IFERROR(__xludf.DUMMYFUNCTION("""COMPUTED_VALUE"""),26451.0)</f>
        <v>26451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IFERROR(__xludf.DUMMYFUNCTION("""COMPUTED_VALUE"""),85.04)</f>
        <v>85.04</v>
      </c>
      <c r="C971" s="1">
        <f>IFERROR(__xludf.DUMMYFUNCTION("""COMPUTED_VALUE"""),85.04)</f>
        <v>85.04</v>
      </c>
      <c r="D971" s="1">
        <f>IFERROR(__xludf.DUMMYFUNCTION("""COMPUTED_VALUE"""),82.7)</f>
        <v>82.7</v>
      </c>
      <c r="E971" s="1">
        <f>IFERROR(__xludf.DUMMYFUNCTION("""COMPUTED_VALUE"""),83.25)</f>
        <v>83.25</v>
      </c>
      <c r="F971" s="1">
        <f>IFERROR(__xludf.DUMMYFUNCTION("""COMPUTED_VALUE"""),37270.0)</f>
        <v>37270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IFERROR(__xludf.DUMMYFUNCTION("""COMPUTED_VALUE"""),82.62)</f>
        <v>82.62</v>
      </c>
      <c r="C972" s="1">
        <f>IFERROR(__xludf.DUMMYFUNCTION("""COMPUTED_VALUE"""),82.95)</f>
        <v>82.95</v>
      </c>
      <c r="D972" s="1">
        <f>IFERROR(__xludf.DUMMYFUNCTION("""COMPUTED_VALUE"""),82.25)</f>
        <v>82.25</v>
      </c>
      <c r="E972" s="1">
        <f>IFERROR(__xludf.DUMMYFUNCTION("""COMPUTED_VALUE"""),82.53)</f>
        <v>82.53</v>
      </c>
      <c r="F972" s="1">
        <f>IFERROR(__xludf.DUMMYFUNCTION("""COMPUTED_VALUE"""),32360.0)</f>
        <v>32360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IFERROR(__xludf.DUMMYFUNCTION("""COMPUTED_VALUE"""),82.5)</f>
        <v>82.5</v>
      </c>
      <c r="C973" s="1">
        <f>IFERROR(__xludf.DUMMYFUNCTION("""COMPUTED_VALUE"""),82.78)</f>
        <v>82.78</v>
      </c>
      <c r="D973" s="1">
        <f>IFERROR(__xludf.DUMMYFUNCTION("""COMPUTED_VALUE"""),82.04)</f>
        <v>82.04</v>
      </c>
      <c r="E973" s="1">
        <f>IFERROR(__xludf.DUMMYFUNCTION("""COMPUTED_VALUE"""),82.46)</f>
        <v>82.46</v>
      </c>
      <c r="F973" s="1">
        <f>IFERROR(__xludf.DUMMYFUNCTION("""COMPUTED_VALUE"""),24363.0)</f>
        <v>24363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IFERROR(__xludf.DUMMYFUNCTION("""COMPUTED_VALUE"""),82.37)</f>
        <v>82.37</v>
      </c>
      <c r="C974" s="1">
        <f>IFERROR(__xludf.DUMMYFUNCTION("""COMPUTED_VALUE"""),82.45)</f>
        <v>82.45</v>
      </c>
      <c r="D974" s="1">
        <f>IFERROR(__xludf.DUMMYFUNCTION("""COMPUTED_VALUE"""),81.44)</f>
        <v>81.44</v>
      </c>
      <c r="E974" s="1">
        <f>IFERROR(__xludf.DUMMYFUNCTION("""COMPUTED_VALUE"""),82.0)</f>
        <v>82</v>
      </c>
      <c r="F974" s="1">
        <f>IFERROR(__xludf.DUMMYFUNCTION("""COMPUTED_VALUE"""),48894.0)</f>
        <v>48894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IFERROR(__xludf.DUMMYFUNCTION("""COMPUTED_VALUE"""),81.8)</f>
        <v>81.8</v>
      </c>
      <c r="C975" s="1">
        <f>IFERROR(__xludf.DUMMYFUNCTION("""COMPUTED_VALUE"""),82.7)</f>
        <v>82.7</v>
      </c>
      <c r="D975" s="1">
        <f>IFERROR(__xludf.DUMMYFUNCTION("""COMPUTED_VALUE"""),81.79)</f>
        <v>81.79</v>
      </c>
      <c r="E975" s="1">
        <f>IFERROR(__xludf.DUMMYFUNCTION("""COMPUTED_VALUE"""),82.45)</f>
        <v>82.45</v>
      </c>
      <c r="F975" s="1">
        <f>IFERROR(__xludf.DUMMYFUNCTION("""COMPUTED_VALUE"""),50439.0)</f>
        <v>50439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IFERROR(__xludf.DUMMYFUNCTION("""COMPUTED_VALUE"""),82.22)</f>
        <v>82.22</v>
      </c>
      <c r="C976" s="1">
        <f>IFERROR(__xludf.DUMMYFUNCTION("""COMPUTED_VALUE"""),83.35)</f>
        <v>83.35</v>
      </c>
      <c r="D976" s="1">
        <f>IFERROR(__xludf.DUMMYFUNCTION("""COMPUTED_VALUE"""),82.15)</f>
        <v>82.15</v>
      </c>
      <c r="E976" s="1">
        <f>IFERROR(__xludf.DUMMYFUNCTION("""COMPUTED_VALUE"""),82.39)</f>
        <v>82.39</v>
      </c>
      <c r="F976" s="1">
        <f>IFERROR(__xludf.DUMMYFUNCTION("""COMPUTED_VALUE"""),23784.0)</f>
        <v>23784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IFERROR(__xludf.DUMMYFUNCTION("""COMPUTED_VALUE"""),82.27)</f>
        <v>82.27</v>
      </c>
      <c r="C977" s="1">
        <f>IFERROR(__xludf.DUMMYFUNCTION("""COMPUTED_VALUE"""),82.27)</f>
        <v>82.27</v>
      </c>
      <c r="D977" s="1">
        <f>IFERROR(__xludf.DUMMYFUNCTION("""COMPUTED_VALUE"""),80.66)</f>
        <v>80.66</v>
      </c>
      <c r="E977" s="1">
        <f>IFERROR(__xludf.DUMMYFUNCTION("""COMPUTED_VALUE"""),81.49)</f>
        <v>81.49</v>
      </c>
      <c r="F977" s="1">
        <f>IFERROR(__xludf.DUMMYFUNCTION("""COMPUTED_VALUE"""),60003.0)</f>
        <v>60003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IFERROR(__xludf.DUMMYFUNCTION("""COMPUTED_VALUE"""),81.51)</f>
        <v>81.51</v>
      </c>
      <c r="C978" s="1">
        <f>IFERROR(__xludf.DUMMYFUNCTION("""COMPUTED_VALUE"""),82.0)</f>
        <v>82</v>
      </c>
      <c r="D978" s="1">
        <f>IFERROR(__xludf.DUMMYFUNCTION("""COMPUTED_VALUE"""),80.89)</f>
        <v>80.89</v>
      </c>
      <c r="E978" s="1">
        <f>IFERROR(__xludf.DUMMYFUNCTION("""COMPUTED_VALUE"""),81.58)</f>
        <v>81.58</v>
      </c>
      <c r="F978" s="1">
        <f>IFERROR(__xludf.DUMMYFUNCTION("""COMPUTED_VALUE"""),20258.0)</f>
        <v>20258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IFERROR(__xludf.DUMMYFUNCTION("""COMPUTED_VALUE"""),81.64)</f>
        <v>81.64</v>
      </c>
      <c r="C979" s="1">
        <f>IFERROR(__xludf.DUMMYFUNCTION("""COMPUTED_VALUE"""),81.96)</f>
        <v>81.96</v>
      </c>
      <c r="D979" s="1">
        <f>IFERROR(__xludf.DUMMYFUNCTION("""COMPUTED_VALUE"""),80.86)</f>
        <v>80.86</v>
      </c>
      <c r="E979" s="1">
        <f>IFERROR(__xludf.DUMMYFUNCTION("""COMPUTED_VALUE"""),81.67)</f>
        <v>81.67</v>
      </c>
      <c r="F979" s="1">
        <f>IFERROR(__xludf.DUMMYFUNCTION("""COMPUTED_VALUE"""),41480.0)</f>
        <v>41480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IFERROR(__xludf.DUMMYFUNCTION("""COMPUTED_VALUE"""),81.92)</f>
        <v>81.92</v>
      </c>
      <c r="C980" s="1">
        <f>IFERROR(__xludf.DUMMYFUNCTION("""COMPUTED_VALUE"""),82.77)</f>
        <v>82.77</v>
      </c>
      <c r="D980" s="1">
        <f>IFERROR(__xludf.DUMMYFUNCTION("""COMPUTED_VALUE"""),81.11)</f>
        <v>81.11</v>
      </c>
      <c r="E980" s="1">
        <f>IFERROR(__xludf.DUMMYFUNCTION("""COMPUTED_VALUE"""),81.44)</f>
        <v>81.44</v>
      </c>
      <c r="F980" s="1">
        <f>IFERROR(__xludf.DUMMYFUNCTION("""COMPUTED_VALUE"""),29681.0)</f>
        <v>29681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IFERROR(__xludf.DUMMYFUNCTION("""COMPUTED_VALUE"""),81.95)</f>
        <v>81.95</v>
      </c>
      <c r="C981" s="1">
        <f>IFERROR(__xludf.DUMMYFUNCTION("""COMPUTED_VALUE"""),83.39)</f>
        <v>83.39</v>
      </c>
      <c r="D981" s="1">
        <f>IFERROR(__xludf.DUMMYFUNCTION("""COMPUTED_VALUE"""),81.95)</f>
        <v>81.95</v>
      </c>
      <c r="E981" s="1">
        <f>IFERROR(__xludf.DUMMYFUNCTION("""COMPUTED_VALUE"""),83.24)</f>
        <v>83.24</v>
      </c>
      <c r="F981" s="1">
        <f>IFERROR(__xludf.DUMMYFUNCTION("""COMPUTED_VALUE"""),41097.0)</f>
        <v>41097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IFERROR(__xludf.DUMMYFUNCTION("""COMPUTED_VALUE"""),83.51)</f>
        <v>83.51</v>
      </c>
      <c r="C982" s="1">
        <f>IFERROR(__xludf.DUMMYFUNCTION("""COMPUTED_VALUE"""),84.9)</f>
        <v>84.9</v>
      </c>
      <c r="D982" s="1">
        <f>IFERROR(__xludf.DUMMYFUNCTION("""COMPUTED_VALUE"""),83.01)</f>
        <v>83.01</v>
      </c>
      <c r="E982" s="1">
        <f>IFERROR(__xludf.DUMMYFUNCTION("""COMPUTED_VALUE"""),84.27)</f>
        <v>84.27</v>
      </c>
      <c r="F982" s="1">
        <f>IFERROR(__xludf.DUMMYFUNCTION("""COMPUTED_VALUE"""),30974.0)</f>
        <v>30974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IFERROR(__xludf.DUMMYFUNCTION("""COMPUTED_VALUE"""),84.29)</f>
        <v>84.29</v>
      </c>
      <c r="C983" s="1">
        <f>IFERROR(__xludf.DUMMYFUNCTION("""COMPUTED_VALUE"""),84.86)</f>
        <v>84.86</v>
      </c>
      <c r="D983" s="1">
        <f>IFERROR(__xludf.DUMMYFUNCTION("""COMPUTED_VALUE"""),83.49)</f>
        <v>83.49</v>
      </c>
      <c r="E983" s="1">
        <f>IFERROR(__xludf.DUMMYFUNCTION("""COMPUTED_VALUE"""),83.77)</f>
        <v>83.77</v>
      </c>
      <c r="F983" s="1">
        <f>IFERROR(__xludf.DUMMYFUNCTION("""COMPUTED_VALUE"""),12018.0)</f>
        <v>12018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IFERROR(__xludf.DUMMYFUNCTION("""COMPUTED_VALUE"""),83.77)</f>
        <v>83.77</v>
      </c>
      <c r="C984" s="1">
        <f>IFERROR(__xludf.DUMMYFUNCTION("""COMPUTED_VALUE"""),85.7)</f>
        <v>85.7</v>
      </c>
      <c r="D984" s="1">
        <f>IFERROR(__xludf.DUMMYFUNCTION("""COMPUTED_VALUE"""),83.77)</f>
        <v>83.77</v>
      </c>
      <c r="E984" s="1">
        <f>IFERROR(__xludf.DUMMYFUNCTION("""COMPUTED_VALUE"""),85.2)</f>
        <v>85.2</v>
      </c>
      <c r="F984" s="1">
        <f>IFERROR(__xludf.DUMMYFUNCTION("""COMPUTED_VALUE"""),39683.0)</f>
        <v>39683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IFERROR(__xludf.DUMMYFUNCTION("""COMPUTED_VALUE"""),85.51)</f>
        <v>85.51</v>
      </c>
      <c r="C985" s="1">
        <f>IFERROR(__xludf.DUMMYFUNCTION("""COMPUTED_VALUE"""),86.45)</f>
        <v>86.45</v>
      </c>
      <c r="D985" s="1">
        <f>IFERROR(__xludf.DUMMYFUNCTION("""COMPUTED_VALUE"""),85.51)</f>
        <v>85.51</v>
      </c>
      <c r="E985" s="1">
        <f>IFERROR(__xludf.DUMMYFUNCTION("""COMPUTED_VALUE"""),86.16)</f>
        <v>86.16</v>
      </c>
      <c r="F985" s="1">
        <f>IFERROR(__xludf.DUMMYFUNCTION("""COMPUTED_VALUE"""),15758.0)</f>
        <v>15758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IFERROR(__xludf.DUMMYFUNCTION("""COMPUTED_VALUE"""),86.38)</f>
        <v>86.38</v>
      </c>
      <c r="C986" s="1">
        <f>IFERROR(__xludf.DUMMYFUNCTION("""COMPUTED_VALUE"""),86.38)</f>
        <v>86.38</v>
      </c>
      <c r="D986" s="1">
        <f>IFERROR(__xludf.DUMMYFUNCTION("""COMPUTED_VALUE"""),85.25)</f>
        <v>85.25</v>
      </c>
      <c r="E986" s="1">
        <f>IFERROR(__xludf.DUMMYFUNCTION("""COMPUTED_VALUE"""),85.92)</f>
        <v>85.92</v>
      </c>
      <c r="F986" s="1">
        <f>IFERROR(__xludf.DUMMYFUNCTION("""COMPUTED_VALUE"""),17220.0)</f>
        <v>17220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IFERROR(__xludf.DUMMYFUNCTION("""COMPUTED_VALUE"""),84.66)</f>
        <v>84.66</v>
      </c>
      <c r="C987" s="1">
        <f>IFERROR(__xludf.DUMMYFUNCTION("""COMPUTED_VALUE"""),85.37)</f>
        <v>85.37</v>
      </c>
      <c r="D987" s="1">
        <f>IFERROR(__xludf.DUMMYFUNCTION("""COMPUTED_VALUE"""),83.17)</f>
        <v>83.17</v>
      </c>
      <c r="E987" s="1">
        <f>IFERROR(__xludf.DUMMYFUNCTION("""COMPUTED_VALUE"""),84.26)</f>
        <v>84.26</v>
      </c>
      <c r="F987" s="1">
        <f>IFERROR(__xludf.DUMMYFUNCTION("""COMPUTED_VALUE"""),64451.0)</f>
        <v>64451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IFERROR(__xludf.DUMMYFUNCTION("""COMPUTED_VALUE"""),84.39)</f>
        <v>84.39</v>
      </c>
      <c r="C988" s="1">
        <f>IFERROR(__xludf.DUMMYFUNCTION("""COMPUTED_VALUE"""),84.77)</f>
        <v>84.77</v>
      </c>
      <c r="D988" s="1">
        <f>IFERROR(__xludf.DUMMYFUNCTION("""COMPUTED_VALUE"""),83.99)</f>
        <v>83.99</v>
      </c>
      <c r="E988" s="1">
        <f>IFERROR(__xludf.DUMMYFUNCTION("""COMPUTED_VALUE"""),84.19)</f>
        <v>84.19</v>
      </c>
      <c r="F988" s="1">
        <f>IFERROR(__xludf.DUMMYFUNCTION("""COMPUTED_VALUE"""),166723.0)</f>
        <v>166723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IFERROR(__xludf.DUMMYFUNCTION("""COMPUTED_VALUE"""),83.86)</f>
        <v>83.86</v>
      </c>
      <c r="C989" s="1">
        <f>IFERROR(__xludf.DUMMYFUNCTION("""COMPUTED_VALUE"""),84.93)</f>
        <v>84.93</v>
      </c>
      <c r="D989" s="1">
        <f>IFERROR(__xludf.DUMMYFUNCTION("""COMPUTED_VALUE"""),83.14)</f>
        <v>83.14</v>
      </c>
      <c r="E989" s="1">
        <f>IFERROR(__xludf.DUMMYFUNCTION("""COMPUTED_VALUE"""),83.95)</f>
        <v>83.95</v>
      </c>
      <c r="F989" s="1">
        <f>IFERROR(__xludf.DUMMYFUNCTION("""COMPUTED_VALUE"""),27692.0)</f>
        <v>27692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IFERROR(__xludf.DUMMYFUNCTION("""COMPUTED_VALUE"""),83.89)</f>
        <v>83.89</v>
      </c>
      <c r="C990" s="1">
        <f>IFERROR(__xludf.DUMMYFUNCTION("""COMPUTED_VALUE"""),84.92)</f>
        <v>84.92</v>
      </c>
      <c r="D990" s="1">
        <f>IFERROR(__xludf.DUMMYFUNCTION("""COMPUTED_VALUE"""),83.29)</f>
        <v>83.29</v>
      </c>
      <c r="E990" s="1">
        <f>IFERROR(__xludf.DUMMYFUNCTION("""COMPUTED_VALUE"""),84.85)</f>
        <v>84.85</v>
      </c>
      <c r="F990" s="1">
        <f>IFERROR(__xludf.DUMMYFUNCTION("""COMPUTED_VALUE"""),34036.0)</f>
        <v>34036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IFERROR(__xludf.DUMMYFUNCTION("""COMPUTED_VALUE"""),85.9)</f>
        <v>85.9</v>
      </c>
      <c r="C991" s="1">
        <f>IFERROR(__xludf.DUMMYFUNCTION("""COMPUTED_VALUE"""),87.26)</f>
        <v>87.26</v>
      </c>
      <c r="D991" s="1">
        <f>IFERROR(__xludf.DUMMYFUNCTION("""COMPUTED_VALUE"""),85.41)</f>
        <v>85.41</v>
      </c>
      <c r="E991" s="1">
        <f>IFERROR(__xludf.DUMMYFUNCTION("""COMPUTED_VALUE"""),87.0)</f>
        <v>87</v>
      </c>
      <c r="F991" s="1">
        <f>IFERROR(__xludf.DUMMYFUNCTION("""COMPUTED_VALUE"""),51916.0)</f>
        <v>51916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IFERROR(__xludf.DUMMYFUNCTION("""COMPUTED_VALUE"""),86.98)</f>
        <v>86.98</v>
      </c>
      <c r="C992" s="1">
        <f>IFERROR(__xludf.DUMMYFUNCTION("""COMPUTED_VALUE"""),87.6)</f>
        <v>87.6</v>
      </c>
      <c r="D992" s="1">
        <f>IFERROR(__xludf.DUMMYFUNCTION("""COMPUTED_VALUE"""),85.39)</f>
        <v>85.39</v>
      </c>
      <c r="E992" s="1">
        <f>IFERROR(__xludf.DUMMYFUNCTION("""COMPUTED_VALUE"""),86.73)</f>
        <v>86.73</v>
      </c>
      <c r="F992" s="1">
        <f>IFERROR(__xludf.DUMMYFUNCTION("""COMPUTED_VALUE"""),72977.0)</f>
        <v>72977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IFERROR(__xludf.DUMMYFUNCTION("""COMPUTED_VALUE"""),86.71)</f>
        <v>86.71</v>
      </c>
      <c r="C993" s="1">
        <f>IFERROR(__xludf.DUMMYFUNCTION("""COMPUTED_VALUE"""),86.74)</f>
        <v>86.74</v>
      </c>
      <c r="D993" s="1">
        <f>IFERROR(__xludf.DUMMYFUNCTION("""COMPUTED_VALUE"""),85.09)</f>
        <v>85.09</v>
      </c>
      <c r="E993" s="1">
        <f>IFERROR(__xludf.DUMMYFUNCTION("""COMPUTED_VALUE"""),85.9)</f>
        <v>85.9</v>
      </c>
      <c r="F993" s="1">
        <f>IFERROR(__xludf.DUMMYFUNCTION("""COMPUTED_VALUE"""),43847.0)</f>
        <v>43847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IFERROR(__xludf.DUMMYFUNCTION("""COMPUTED_VALUE"""),85.95)</f>
        <v>85.95</v>
      </c>
      <c r="C994" s="1">
        <f>IFERROR(__xludf.DUMMYFUNCTION("""COMPUTED_VALUE"""),86.43)</f>
        <v>86.43</v>
      </c>
      <c r="D994" s="1">
        <f>IFERROR(__xludf.DUMMYFUNCTION("""COMPUTED_VALUE"""),85.41)</f>
        <v>85.41</v>
      </c>
      <c r="E994" s="1">
        <f>IFERROR(__xludf.DUMMYFUNCTION("""COMPUTED_VALUE"""),86.0)</f>
        <v>86</v>
      </c>
      <c r="F994" s="1">
        <f>IFERROR(__xludf.DUMMYFUNCTION("""COMPUTED_VALUE"""),60021.0)</f>
        <v>60021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IFERROR(__xludf.DUMMYFUNCTION("""COMPUTED_VALUE"""),86.13)</f>
        <v>86.13</v>
      </c>
      <c r="C995" s="1">
        <f>IFERROR(__xludf.DUMMYFUNCTION("""COMPUTED_VALUE"""),86.49)</f>
        <v>86.49</v>
      </c>
      <c r="D995" s="1">
        <f>IFERROR(__xludf.DUMMYFUNCTION("""COMPUTED_VALUE"""),85.58)</f>
        <v>85.58</v>
      </c>
      <c r="E995" s="1">
        <f>IFERROR(__xludf.DUMMYFUNCTION("""COMPUTED_VALUE"""),86.16)</f>
        <v>86.16</v>
      </c>
      <c r="F995" s="1">
        <f>IFERROR(__xludf.DUMMYFUNCTION("""COMPUTED_VALUE"""),54575.0)</f>
        <v>54575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IFERROR(__xludf.DUMMYFUNCTION("""COMPUTED_VALUE"""),86.5)</f>
        <v>86.5</v>
      </c>
      <c r="C996" s="1">
        <f>IFERROR(__xludf.DUMMYFUNCTION("""COMPUTED_VALUE"""),87.03)</f>
        <v>87.03</v>
      </c>
      <c r="D996" s="1">
        <f>IFERROR(__xludf.DUMMYFUNCTION("""COMPUTED_VALUE"""),85.75)</f>
        <v>85.75</v>
      </c>
      <c r="E996" s="1">
        <f>IFERROR(__xludf.DUMMYFUNCTION("""COMPUTED_VALUE"""),86.59)</f>
        <v>86.59</v>
      </c>
      <c r="F996" s="1">
        <f>IFERROR(__xludf.DUMMYFUNCTION("""COMPUTED_VALUE"""),42226.0)</f>
        <v>42226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IFERROR(__xludf.DUMMYFUNCTION("""COMPUTED_VALUE"""),86.83)</f>
        <v>86.83</v>
      </c>
      <c r="C997" s="1">
        <f>IFERROR(__xludf.DUMMYFUNCTION("""COMPUTED_VALUE"""),87.98)</f>
        <v>87.98</v>
      </c>
      <c r="D997" s="1">
        <f>IFERROR(__xludf.DUMMYFUNCTION("""COMPUTED_VALUE"""),86.52)</f>
        <v>86.52</v>
      </c>
      <c r="E997" s="1">
        <f>IFERROR(__xludf.DUMMYFUNCTION("""COMPUTED_VALUE"""),87.86)</f>
        <v>87.86</v>
      </c>
      <c r="F997" s="1">
        <f>IFERROR(__xludf.DUMMYFUNCTION("""COMPUTED_VALUE"""),57198.0)</f>
        <v>57198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IFERROR(__xludf.DUMMYFUNCTION("""COMPUTED_VALUE"""),87.7)</f>
        <v>87.7</v>
      </c>
      <c r="C998" s="1">
        <f>IFERROR(__xludf.DUMMYFUNCTION("""COMPUTED_VALUE"""),87.72)</f>
        <v>87.72</v>
      </c>
      <c r="D998" s="1">
        <f>IFERROR(__xludf.DUMMYFUNCTION("""COMPUTED_VALUE"""),86.19)</f>
        <v>86.19</v>
      </c>
      <c r="E998" s="1">
        <f>IFERROR(__xludf.DUMMYFUNCTION("""COMPUTED_VALUE"""),87.57)</f>
        <v>87.57</v>
      </c>
      <c r="F998" s="1">
        <f>IFERROR(__xludf.DUMMYFUNCTION("""COMPUTED_VALUE"""),39918.0)</f>
        <v>39918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IFERROR(__xludf.DUMMYFUNCTION("""COMPUTED_VALUE"""),87.25)</f>
        <v>87.25</v>
      </c>
      <c r="C999" s="1">
        <f>IFERROR(__xludf.DUMMYFUNCTION("""COMPUTED_VALUE"""),88.02)</f>
        <v>88.02</v>
      </c>
      <c r="D999" s="1">
        <f>IFERROR(__xludf.DUMMYFUNCTION("""COMPUTED_VALUE"""),86.58)</f>
        <v>86.58</v>
      </c>
      <c r="E999" s="1">
        <f>IFERROR(__xludf.DUMMYFUNCTION("""COMPUTED_VALUE"""),87.68)</f>
        <v>87.68</v>
      </c>
      <c r="F999" s="1">
        <f>IFERROR(__xludf.DUMMYFUNCTION("""COMPUTED_VALUE"""),70377.0)</f>
        <v>70377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IFERROR(__xludf.DUMMYFUNCTION("""COMPUTED_VALUE"""),87.5)</f>
        <v>87.5</v>
      </c>
      <c r="C1000" s="1">
        <f>IFERROR(__xludf.DUMMYFUNCTION("""COMPUTED_VALUE"""),87.8)</f>
        <v>87.8</v>
      </c>
      <c r="D1000" s="1">
        <f>IFERROR(__xludf.DUMMYFUNCTION("""COMPUTED_VALUE"""),86.83)</f>
        <v>86.83</v>
      </c>
      <c r="E1000" s="1">
        <f>IFERROR(__xludf.DUMMYFUNCTION("""COMPUTED_VALUE"""),86.99)</f>
        <v>86.99</v>
      </c>
      <c r="F1000" s="1">
        <f>IFERROR(__xludf.DUMMYFUNCTION("""COMPUTED_VALUE"""),40051.0)</f>
        <v>40051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IFERROR(__xludf.DUMMYFUNCTION("""COMPUTED_VALUE"""),87.38)</f>
        <v>87.38</v>
      </c>
      <c r="C1001" s="1">
        <f>IFERROR(__xludf.DUMMYFUNCTION("""COMPUTED_VALUE"""),87.38)</f>
        <v>87.38</v>
      </c>
      <c r="D1001" s="1">
        <f>IFERROR(__xludf.DUMMYFUNCTION("""COMPUTED_VALUE"""),86.27)</f>
        <v>86.27</v>
      </c>
      <c r="E1001" s="1">
        <f>IFERROR(__xludf.DUMMYFUNCTION("""COMPUTED_VALUE"""),86.77)</f>
        <v>86.77</v>
      </c>
      <c r="F1001" s="1">
        <f>IFERROR(__xludf.DUMMYFUNCTION("""COMPUTED_VALUE"""),130593.0)</f>
        <v>130593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IFERROR(__xludf.DUMMYFUNCTION("""COMPUTED_VALUE"""),86.75)</f>
        <v>86.75</v>
      </c>
      <c r="C1002" s="1">
        <f>IFERROR(__xludf.DUMMYFUNCTION("""COMPUTED_VALUE"""),87.53)</f>
        <v>87.53</v>
      </c>
      <c r="D1002" s="1">
        <f>IFERROR(__xludf.DUMMYFUNCTION("""COMPUTED_VALUE"""),85.9)</f>
        <v>85.9</v>
      </c>
      <c r="E1002" s="1">
        <f>IFERROR(__xludf.DUMMYFUNCTION("""COMPUTED_VALUE"""),87.21)</f>
        <v>87.21</v>
      </c>
      <c r="F1002" s="1">
        <f>IFERROR(__xludf.DUMMYFUNCTION("""COMPUTED_VALUE"""),69155.0)</f>
        <v>69155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IFERROR(__xludf.DUMMYFUNCTION("""COMPUTED_VALUE"""),87.41)</f>
        <v>87.41</v>
      </c>
      <c r="C1003" s="1">
        <f>IFERROR(__xludf.DUMMYFUNCTION("""COMPUTED_VALUE"""),88.09)</f>
        <v>88.09</v>
      </c>
      <c r="D1003" s="1">
        <f>IFERROR(__xludf.DUMMYFUNCTION("""COMPUTED_VALUE"""),84.93)</f>
        <v>84.93</v>
      </c>
      <c r="E1003" s="1">
        <f>IFERROR(__xludf.DUMMYFUNCTION("""COMPUTED_VALUE"""),87.83)</f>
        <v>87.83</v>
      </c>
      <c r="F1003" s="1">
        <f>IFERROR(__xludf.DUMMYFUNCTION("""COMPUTED_VALUE"""),28794.0)</f>
        <v>28794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IFERROR(__xludf.DUMMYFUNCTION("""COMPUTED_VALUE"""),88.1)</f>
        <v>88.1</v>
      </c>
      <c r="C1004" s="1">
        <f>IFERROR(__xludf.DUMMYFUNCTION("""COMPUTED_VALUE"""),88.79)</f>
        <v>88.79</v>
      </c>
      <c r="D1004" s="1">
        <f>IFERROR(__xludf.DUMMYFUNCTION("""COMPUTED_VALUE"""),87.47)</f>
        <v>87.47</v>
      </c>
      <c r="E1004" s="1">
        <f>IFERROR(__xludf.DUMMYFUNCTION("""COMPUTED_VALUE"""),88.44)</f>
        <v>88.44</v>
      </c>
      <c r="F1004" s="1">
        <f>IFERROR(__xludf.DUMMYFUNCTION("""COMPUTED_VALUE"""),59719.0)</f>
        <v>59719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IFERROR(__xludf.DUMMYFUNCTION("""COMPUTED_VALUE"""),88.79)</f>
        <v>88.79</v>
      </c>
      <c r="C1005" s="1">
        <f>IFERROR(__xludf.DUMMYFUNCTION("""COMPUTED_VALUE"""),90.79)</f>
        <v>90.79</v>
      </c>
      <c r="D1005" s="1">
        <f>IFERROR(__xludf.DUMMYFUNCTION("""COMPUTED_VALUE"""),87.73)</f>
        <v>87.73</v>
      </c>
      <c r="E1005" s="1">
        <f>IFERROR(__xludf.DUMMYFUNCTION("""COMPUTED_VALUE"""),88.66)</f>
        <v>88.66</v>
      </c>
      <c r="F1005" s="1">
        <f>IFERROR(__xludf.DUMMYFUNCTION("""COMPUTED_VALUE"""),36418.0)</f>
        <v>36418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IFERROR(__xludf.DUMMYFUNCTION("""COMPUTED_VALUE"""),88.5)</f>
        <v>88.5</v>
      </c>
      <c r="C1006" s="1">
        <f>IFERROR(__xludf.DUMMYFUNCTION("""COMPUTED_VALUE"""),89.01)</f>
        <v>89.01</v>
      </c>
      <c r="D1006" s="1">
        <f>IFERROR(__xludf.DUMMYFUNCTION("""COMPUTED_VALUE"""),87.89)</f>
        <v>87.89</v>
      </c>
      <c r="E1006" s="1">
        <f>IFERROR(__xludf.DUMMYFUNCTION("""COMPUTED_VALUE"""),88.51)</f>
        <v>88.51</v>
      </c>
      <c r="F1006" s="1">
        <f>IFERROR(__xludf.DUMMYFUNCTION("""COMPUTED_VALUE"""),50763.0)</f>
        <v>50763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IFERROR(__xludf.DUMMYFUNCTION("""COMPUTED_VALUE"""),88.84)</f>
        <v>88.84</v>
      </c>
      <c r="C1007" s="1">
        <f>IFERROR(__xludf.DUMMYFUNCTION("""COMPUTED_VALUE"""),89.03)</f>
        <v>89.03</v>
      </c>
      <c r="D1007" s="1">
        <f>IFERROR(__xludf.DUMMYFUNCTION("""COMPUTED_VALUE"""),88.0)</f>
        <v>88</v>
      </c>
      <c r="E1007" s="1">
        <f>IFERROR(__xludf.DUMMYFUNCTION("""COMPUTED_VALUE"""),88.59)</f>
        <v>88.59</v>
      </c>
      <c r="F1007" s="1">
        <f>IFERROR(__xludf.DUMMYFUNCTION("""COMPUTED_VALUE"""),50240.0)</f>
        <v>50240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IFERROR(__xludf.DUMMYFUNCTION("""COMPUTED_VALUE"""),88.23)</f>
        <v>88.23</v>
      </c>
      <c r="C1008" s="1">
        <f>IFERROR(__xludf.DUMMYFUNCTION("""COMPUTED_VALUE"""),88.3)</f>
        <v>88.3</v>
      </c>
      <c r="D1008" s="1">
        <f>IFERROR(__xludf.DUMMYFUNCTION("""COMPUTED_VALUE"""),86.48)</f>
        <v>86.48</v>
      </c>
      <c r="E1008" s="1">
        <f>IFERROR(__xludf.DUMMYFUNCTION("""COMPUTED_VALUE"""),87.15)</f>
        <v>87.15</v>
      </c>
      <c r="F1008" s="1">
        <f>IFERROR(__xludf.DUMMYFUNCTION("""COMPUTED_VALUE"""),50974.0)</f>
        <v>50974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IFERROR(__xludf.DUMMYFUNCTION("""COMPUTED_VALUE"""),87.13)</f>
        <v>87.13</v>
      </c>
      <c r="C1009" s="1">
        <f>IFERROR(__xludf.DUMMYFUNCTION("""COMPUTED_VALUE"""),87.88)</f>
        <v>87.88</v>
      </c>
      <c r="D1009" s="1">
        <f>IFERROR(__xludf.DUMMYFUNCTION("""COMPUTED_VALUE"""),86.83)</f>
        <v>86.83</v>
      </c>
      <c r="E1009" s="1">
        <f>IFERROR(__xludf.DUMMYFUNCTION("""COMPUTED_VALUE"""),87.23)</f>
        <v>87.23</v>
      </c>
      <c r="F1009" s="1">
        <f>IFERROR(__xludf.DUMMYFUNCTION("""COMPUTED_VALUE"""),32692.0)</f>
        <v>32692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IFERROR(__xludf.DUMMYFUNCTION("""COMPUTED_VALUE"""),87.42)</f>
        <v>87.42</v>
      </c>
      <c r="C1010" s="1">
        <f>IFERROR(__xludf.DUMMYFUNCTION("""COMPUTED_VALUE"""),87.88)</f>
        <v>87.88</v>
      </c>
      <c r="D1010" s="1">
        <f>IFERROR(__xludf.DUMMYFUNCTION("""COMPUTED_VALUE"""),85.59)</f>
        <v>85.59</v>
      </c>
      <c r="E1010" s="1">
        <f>IFERROR(__xludf.DUMMYFUNCTION("""COMPUTED_VALUE"""),85.8)</f>
        <v>85.8</v>
      </c>
      <c r="F1010" s="1">
        <f>IFERROR(__xludf.DUMMYFUNCTION("""COMPUTED_VALUE"""),44213.0)</f>
        <v>44213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IFERROR(__xludf.DUMMYFUNCTION("""COMPUTED_VALUE"""),86.32)</f>
        <v>86.32</v>
      </c>
      <c r="C1011" s="1">
        <f>IFERROR(__xludf.DUMMYFUNCTION("""COMPUTED_VALUE"""),87.34)</f>
        <v>87.34</v>
      </c>
      <c r="D1011" s="1">
        <f>IFERROR(__xludf.DUMMYFUNCTION("""COMPUTED_VALUE"""),86.0)</f>
        <v>86</v>
      </c>
      <c r="E1011" s="1">
        <f>IFERROR(__xludf.DUMMYFUNCTION("""COMPUTED_VALUE"""),86.93)</f>
        <v>86.93</v>
      </c>
      <c r="F1011" s="1">
        <f>IFERROR(__xludf.DUMMYFUNCTION("""COMPUTED_VALUE"""),39049.0)</f>
        <v>39049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IFERROR(__xludf.DUMMYFUNCTION("""COMPUTED_VALUE"""),86.59)</f>
        <v>86.59</v>
      </c>
      <c r="C1012" s="1">
        <f>IFERROR(__xludf.DUMMYFUNCTION("""COMPUTED_VALUE"""),86.59)</f>
        <v>86.59</v>
      </c>
      <c r="D1012" s="1">
        <f>IFERROR(__xludf.DUMMYFUNCTION("""COMPUTED_VALUE"""),85.09)</f>
        <v>85.09</v>
      </c>
      <c r="E1012" s="1">
        <f>IFERROR(__xludf.DUMMYFUNCTION("""COMPUTED_VALUE"""),85.82)</f>
        <v>85.82</v>
      </c>
      <c r="F1012" s="1">
        <f>IFERROR(__xludf.DUMMYFUNCTION("""COMPUTED_VALUE"""),72759.0)</f>
        <v>72759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IFERROR(__xludf.DUMMYFUNCTION("""COMPUTED_VALUE"""),85.91)</f>
        <v>85.91</v>
      </c>
      <c r="C1013" s="1">
        <f>IFERROR(__xludf.DUMMYFUNCTION("""COMPUTED_VALUE"""),86.99)</f>
        <v>86.99</v>
      </c>
      <c r="D1013" s="1">
        <f>IFERROR(__xludf.DUMMYFUNCTION("""COMPUTED_VALUE"""),85.25)</f>
        <v>85.25</v>
      </c>
      <c r="E1013" s="1">
        <f>IFERROR(__xludf.DUMMYFUNCTION("""COMPUTED_VALUE"""),86.35)</f>
        <v>86.35</v>
      </c>
      <c r="F1013" s="1">
        <f>IFERROR(__xludf.DUMMYFUNCTION("""COMPUTED_VALUE"""),48049.0)</f>
        <v>48049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IFERROR(__xludf.DUMMYFUNCTION("""COMPUTED_VALUE"""),86.68)</f>
        <v>86.68</v>
      </c>
      <c r="C1014" s="1">
        <f>IFERROR(__xludf.DUMMYFUNCTION("""COMPUTED_VALUE"""),86.98)</f>
        <v>86.98</v>
      </c>
      <c r="D1014" s="1">
        <f>IFERROR(__xludf.DUMMYFUNCTION("""COMPUTED_VALUE"""),85.64)</f>
        <v>85.64</v>
      </c>
      <c r="E1014" s="1">
        <f>IFERROR(__xludf.DUMMYFUNCTION("""COMPUTED_VALUE"""),86.4)</f>
        <v>86.4</v>
      </c>
      <c r="F1014" s="1">
        <f>IFERROR(__xludf.DUMMYFUNCTION("""COMPUTED_VALUE"""),44877.0)</f>
        <v>44877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IFERROR(__xludf.DUMMYFUNCTION("""COMPUTED_VALUE"""),85.96)</f>
        <v>85.96</v>
      </c>
      <c r="C1015" s="1">
        <f>IFERROR(__xludf.DUMMYFUNCTION("""COMPUTED_VALUE"""),86.46)</f>
        <v>86.46</v>
      </c>
      <c r="D1015" s="1">
        <f>IFERROR(__xludf.DUMMYFUNCTION("""COMPUTED_VALUE"""),85.07)</f>
        <v>85.07</v>
      </c>
      <c r="E1015" s="1">
        <f>IFERROR(__xludf.DUMMYFUNCTION("""COMPUTED_VALUE"""),85.56)</f>
        <v>85.56</v>
      </c>
      <c r="F1015" s="1">
        <f>IFERROR(__xludf.DUMMYFUNCTION("""COMPUTED_VALUE"""),77520.0)</f>
        <v>77520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IFERROR(__xludf.DUMMYFUNCTION("""COMPUTED_VALUE"""),85.95)</f>
        <v>85.95</v>
      </c>
      <c r="C1016" s="1">
        <f>IFERROR(__xludf.DUMMYFUNCTION("""COMPUTED_VALUE"""),86.75)</f>
        <v>86.75</v>
      </c>
      <c r="D1016" s="1">
        <f>IFERROR(__xludf.DUMMYFUNCTION("""COMPUTED_VALUE"""),85.56)</f>
        <v>85.56</v>
      </c>
      <c r="E1016" s="1">
        <f>IFERROR(__xludf.DUMMYFUNCTION("""COMPUTED_VALUE"""),85.95)</f>
        <v>85.95</v>
      </c>
      <c r="F1016" s="1">
        <f>IFERROR(__xludf.DUMMYFUNCTION("""COMPUTED_VALUE"""),57039.0)</f>
        <v>57039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IFERROR(__xludf.DUMMYFUNCTION("""COMPUTED_VALUE"""),85.81)</f>
        <v>85.81</v>
      </c>
      <c r="C1017" s="1">
        <f>IFERROR(__xludf.DUMMYFUNCTION("""COMPUTED_VALUE"""),87.08)</f>
        <v>87.08</v>
      </c>
      <c r="D1017" s="1">
        <f>IFERROR(__xludf.DUMMYFUNCTION("""COMPUTED_VALUE"""),85.56)</f>
        <v>85.56</v>
      </c>
      <c r="E1017" s="1">
        <f>IFERROR(__xludf.DUMMYFUNCTION("""COMPUTED_VALUE"""),86.73)</f>
        <v>86.73</v>
      </c>
      <c r="F1017" s="1">
        <f>IFERROR(__xludf.DUMMYFUNCTION("""COMPUTED_VALUE"""),63518.0)</f>
        <v>63518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IFERROR(__xludf.DUMMYFUNCTION("""COMPUTED_VALUE"""),86.52)</f>
        <v>86.52</v>
      </c>
      <c r="C1018" s="1">
        <f>IFERROR(__xludf.DUMMYFUNCTION("""COMPUTED_VALUE"""),87.59)</f>
        <v>87.59</v>
      </c>
      <c r="D1018" s="1">
        <f>IFERROR(__xludf.DUMMYFUNCTION("""COMPUTED_VALUE"""),86.19)</f>
        <v>86.19</v>
      </c>
      <c r="E1018" s="1">
        <f>IFERROR(__xludf.DUMMYFUNCTION("""COMPUTED_VALUE"""),87.48)</f>
        <v>87.48</v>
      </c>
      <c r="F1018" s="1">
        <f>IFERROR(__xludf.DUMMYFUNCTION("""COMPUTED_VALUE"""),46655.0)</f>
        <v>46655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IFERROR(__xludf.DUMMYFUNCTION("""COMPUTED_VALUE"""),87.26)</f>
        <v>87.26</v>
      </c>
      <c r="C1019" s="1">
        <f>IFERROR(__xludf.DUMMYFUNCTION("""COMPUTED_VALUE"""),87.26)</f>
        <v>87.26</v>
      </c>
      <c r="D1019" s="1">
        <f>IFERROR(__xludf.DUMMYFUNCTION("""COMPUTED_VALUE"""),85.01)</f>
        <v>85.01</v>
      </c>
      <c r="E1019" s="1">
        <f>IFERROR(__xludf.DUMMYFUNCTION("""COMPUTED_VALUE"""),85.53)</f>
        <v>85.53</v>
      </c>
      <c r="F1019" s="1">
        <f>IFERROR(__xludf.DUMMYFUNCTION("""COMPUTED_VALUE"""),40849.0)</f>
        <v>40849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IFERROR(__xludf.DUMMYFUNCTION("""COMPUTED_VALUE"""),86.26)</f>
        <v>86.26</v>
      </c>
      <c r="C1020" s="1">
        <f>IFERROR(__xludf.DUMMYFUNCTION("""COMPUTED_VALUE"""),86.26)</f>
        <v>86.26</v>
      </c>
      <c r="D1020" s="1">
        <f>IFERROR(__xludf.DUMMYFUNCTION("""COMPUTED_VALUE"""),85.25)</f>
        <v>85.25</v>
      </c>
      <c r="E1020" s="1">
        <f>IFERROR(__xludf.DUMMYFUNCTION("""COMPUTED_VALUE"""),85.93)</f>
        <v>85.93</v>
      </c>
      <c r="F1020" s="1">
        <f>IFERROR(__xludf.DUMMYFUNCTION("""COMPUTED_VALUE"""),44650.0)</f>
        <v>44650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IFERROR(__xludf.DUMMYFUNCTION("""COMPUTED_VALUE"""),85.99)</f>
        <v>85.99</v>
      </c>
      <c r="C1021" s="1">
        <f>IFERROR(__xludf.DUMMYFUNCTION("""COMPUTED_VALUE"""),86.32)</f>
        <v>86.32</v>
      </c>
      <c r="D1021" s="1">
        <f>IFERROR(__xludf.DUMMYFUNCTION("""COMPUTED_VALUE"""),85.46)</f>
        <v>85.46</v>
      </c>
      <c r="E1021" s="1">
        <f>IFERROR(__xludf.DUMMYFUNCTION("""COMPUTED_VALUE"""),85.84)</f>
        <v>85.84</v>
      </c>
      <c r="F1021" s="1">
        <f>IFERROR(__xludf.DUMMYFUNCTION("""COMPUTED_VALUE"""),38020.0)</f>
        <v>38020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IFERROR(__xludf.DUMMYFUNCTION("""COMPUTED_VALUE"""),85.39)</f>
        <v>85.39</v>
      </c>
      <c r="C1022" s="1">
        <f>IFERROR(__xludf.DUMMYFUNCTION("""COMPUTED_VALUE"""),86.02)</f>
        <v>86.02</v>
      </c>
      <c r="D1022" s="1">
        <f>IFERROR(__xludf.DUMMYFUNCTION("""COMPUTED_VALUE"""),84.57)</f>
        <v>84.57</v>
      </c>
      <c r="E1022" s="1">
        <f>IFERROR(__xludf.DUMMYFUNCTION("""COMPUTED_VALUE"""),85.66)</f>
        <v>85.66</v>
      </c>
      <c r="F1022" s="1">
        <f>IFERROR(__xludf.DUMMYFUNCTION("""COMPUTED_VALUE"""),64769.0)</f>
        <v>64769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IFERROR(__xludf.DUMMYFUNCTION("""COMPUTED_VALUE"""),84.92)</f>
        <v>84.92</v>
      </c>
      <c r="C1023" s="1">
        <f>IFERROR(__xludf.DUMMYFUNCTION("""COMPUTED_VALUE"""),85.9)</f>
        <v>85.9</v>
      </c>
      <c r="D1023" s="1">
        <f>IFERROR(__xludf.DUMMYFUNCTION("""COMPUTED_VALUE"""),84.3)</f>
        <v>84.3</v>
      </c>
      <c r="E1023" s="1">
        <f>IFERROR(__xludf.DUMMYFUNCTION("""COMPUTED_VALUE"""),85.44)</f>
        <v>85.44</v>
      </c>
      <c r="F1023" s="1">
        <f>IFERROR(__xludf.DUMMYFUNCTION("""COMPUTED_VALUE"""),52514.0)</f>
        <v>52514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IFERROR(__xludf.DUMMYFUNCTION("""COMPUTED_VALUE"""),85.99)</f>
        <v>85.99</v>
      </c>
      <c r="C1024" s="1">
        <f>IFERROR(__xludf.DUMMYFUNCTION("""COMPUTED_VALUE"""),87.11)</f>
        <v>87.11</v>
      </c>
      <c r="D1024" s="1">
        <f>IFERROR(__xludf.DUMMYFUNCTION("""COMPUTED_VALUE"""),84.86)</f>
        <v>84.86</v>
      </c>
      <c r="E1024" s="1">
        <f>IFERROR(__xludf.DUMMYFUNCTION("""COMPUTED_VALUE"""),85.22)</f>
        <v>85.22</v>
      </c>
      <c r="F1024" s="1">
        <f>IFERROR(__xludf.DUMMYFUNCTION("""COMPUTED_VALUE"""),77358.0)</f>
        <v>77358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IFERROR(__xludf.DUMMYFUNCTION("""COMPUTED_VALUE"""),87.7)</f>
        <v>87.7</v>
      </c>
      <c r="C1025" s="1">
        <f>IFERROR(__xludf.DUMMYFUNCTION("""COMPUTED_VALUE"""),97.8)</f>
        <v>97.8</v>
      </c>
      <c r="D1025" s="1">
        <f>IFERROR(__xludf.DUMMYFUNCTION("""COMPUTED_VALUE"""),87.42)</f>
        <v>87.42</v>
      </c>
      <c r="E1025" s="1">
        <f>IFERROR(__xludf.DUMMYFUNCTION("""COMPUTED_VALUE"""),92.6)</f>
        <v>92.6</v>
      </c>
      <c r="F1025" s="1">
        <f>IFERROR(__xludf.DUMMYFUNCTION("""COMPUTED_VALUE"""),235511.0)</f>
        <v>235511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IFERROR(__xludf.DUMMYFUNCTION("""COMPUTED_VALUE"""),91.63)</f>
        <v>91.63</v>
      </c>
      <c r="C1026" s="1">
        <f>IFERROR(__xludf.DUMMYFUNCTION("""COMPUTED_VALUE"""),92.16)</f>
        <v>92.16</v>
      </c>
      <c r="D1026" s="1">
        <f>IFERROR(__xludf.DUMMYFUNCTION("""COMPUTED_VALUE"""),86.9)</f>
        <v>86.9</v>
      </c>
      <c r="E1026" s="1">
        <f>IFERROR(__xludf.DUMMYFUNCTION("""COMPUTED_VALUE"""),87.69)</f>
        <v>87.69</v>
      </c>
      <c r="F1026" s="1">
        <f>IFERROR(__xludf.DUMMYFUNCTION("""COMPUTED_VALUE"""),181150.0)</f>
        <v>181150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IFERROR(__xludf.DUMMYFUNCTION("""COMPUTED_VALUE"""),88.49)</f>
        <v>88.49</v>
      </c>
      <c r="C1027" s="1">
        <f>IFERROR(__xludf.DUMMYFUNCTION("""COMPUTED_VALUE"""),90.85)</f>
        <v>90.85</v>
      </c>
      <c r="D1027" s="1">
        <f>IFERROR(__xludf.DUMMYFUNCTION("""COMPUTED_VALUE"""),87.61)</f>
        <v>87.61</v>
      </c>
      <c r="E1027" s="1">
        <f>IFERROR(__xludf.DUMMYFUNCTION("""COMPUTED_VALUE"""),89.37)</f>
        <v>89.37</v>
      </c>
      <c r="F1027" s="1">
        <f>IFERROR(__xludf.DUMMYFUNCTION("""COMPUTED_VALUE"""),80109.0)</f>
        <v>80109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IFERROR(__xludf.DUMMYFUNCTION("""COMPUTED_VALUE"""),88.11)</f>
        <v>88.11</v>
      </c>
      <c r="C1028" s="1">
        <f>IFERROR(__xludf.DUMMYFUNCTION("""COMPUTED_VALUE"""),89.14)</f>
        <v>89.14</v>
      </c>
      <c r="D1028" s="1">
        <f>IFERROR(__xludf.DUMMYFUNCTION("""COMPUTED_VALUE"""),87.95)</f>
        <v>87.95</v>
      </c>
      <c r="E1028" s="1">
        <f>IFERROR(__xludf.DUMMYFUNCTION("""COMPUTED_VALUE"""),88.1)</f>
        <v>88.1</v>
      </c>
      <c r="F1028" s="1">
        <f>IFERROR(__xludf.DUMMYFUNCTION("""COMPUTED_VALUE"""),73206.0)</f>
        <v>73206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IFERROR(__xludf.DUMMYFUNCTION("""COMPUTED_VALUE"""),88.1)</f>
        <v>88.1</v>
      </c>
      <c r="C1029" s="1">
        <f>IFERROR(__xludf.DUMMYFUNCTION("""COMPUTED_VALUE"""),88.42)</f>
        <v>88.42</v>
      </c>
      <c r="D1029" s="1">
        <f>IFERROR(__xludf.DUMMYFUNCTION("""COMPUTED_VALUE"""),85.03)</f>
        <v>85.03</v>
      </c>
      <c r="E1029" s="1">
        <f>IFERROR(__xludf.DUMMYFUNCTION("""COMPUTED_VALUE"""),85.27)</f>
        <v>85.27</v>
      </c>
      <c r="F1029" s="1">
        <f>IFERROR(__xludf.DUMMYFUNCTION("""COMPUTED_VALUE"""),77017.0)</f>
        <v>77017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IFERROR(__xludf.DUMMYFUNCTION("""COMPUTED_VALUE"""),85.64)</f>
        <v>85.64</v>
      </c>
      <c r="C1030" s="1">
        <f>IFERROR(__xludf.DUMMYFUNCTION("""COMPUTED_VALUE"""),87.27)</f>
        <v>87.27</v>
      </c>
      <c r="D1030" s="1">
        <f>IFERROR(__xludf.DUMMYFUNCTION("""COMPUTED_VALUE"""),85.3)</f>
        <v>85.3</v>
      </c>
      <c r="E1030" s="1">
        <f>IFERROR(__xludf.DUMMYFUNCTION("""COMPUTED_VALUE"""),86.04)</f>
        <v>86.04</v>
      </c>
      <c r="F1030" s="1">
        <f>IFERROR(__xludf.DUMMYFUNCTION("""COMPUTED_VALUE"""),85574.0)</f>
        <v>85574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IFERROR(__xludf.DUMMYFUNCTION("""COMPUTED_VALUE"""),86.05)</f>
        <v>86.05</v>
      </c>
      <c r="C1031" s="1">
        <f>IFERROR(__xludf.DUMMYFUNCTION("""COMPUTED_VALUE"""),87.33)</f>
        <v>87.33</v>
      </c>
      <c r="D1031" s="1">
        <f>IFERROR(__xludf.DUMMYFUNCTION("""COMPUTED_VALUE"""),84.9)</f>
        <v>84.9</v>
      </c>
      <c r="E1031" s="1">
        <f>IFERROR(__xludf.DUMMYFUNCTION("""COMPUTED_VALUE"""),86.36)</f>
        <v>86.36</v>
      </c>
      <c r="F1031" s="1">
        <f>IFERROR(__xludf.DUMMYFUNCTION("""COMPUTED_VALUE"""),75671.0)</f>
        <v>75671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IFERROR(__xludf.DUMMYFUNCTION("""COMPUTED_VALUE"""),86.88)</f>
        <v>86.88</v>
      </c>
      <c r="C1032" s="1">
        <f>IFERROR(__xludf.DUMMYFUNCTION("""COMPUTED_VALUE"""),87.81)</f>
        <v>87.81</v>
      </c>
      <c r="D1032" s="1">
        <f>IFERROR(__xludf.DUMMYFUNCTION("""COMPUTED_VALUE"""),86.61)</f>
        <v>86.61</v>
      </c>
      <c r="E1032" s="1">
        <f>IFERROR(__xludf.DUMMYFUNCTION("""COMPUTED_VALUE"""),87.34)</f>
        <v>87.34</v>
      </c>
      <c r="F1032" s="1">
        <f>IFERROR(__xludf.DUMMYFUNCTION("""COMPUTED_VALUE"""),72613.0)</f>
        <v>72613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IFERROR(__xludf.DUMMYFUNCTION("""COMPUTED_VALUE"""),87.43)</f>
        <v>87.43</v>
      </c>
      <c r="C1033" s="1">
        <f>IFERROR(__xludf.DUMMYFUNCTION("""COMPUTED_VALUE"""),87.82)</f>
        <v>87.82</v>
      </c>
      <c r="D1033" s="1">
        <f>IFERROR(__xludf.DUMMYFUNCTION("""COMPUTED_VALUE"""),86.12)</f>
        <v>86.12</v>
      </c>
      <c r="E1033" s="1">
        <f>IFERROR(__xludf.DUMMYFUNCTION("""COMPUTED_VALUE"""),87.19)</f>
        <v>87.19</v>
      </c>
      <c r="F1033" s="1">
        <f>IFERROR(__xludf.DUMMYFUNCTION("""COMPUTED_VALUE"""),58687.0)</f>
        <v>58687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IFERROR(__xludf.DUMMYFUNCTION("""COMPUTED_VALUE"""),87.19)</f>
        <v>87.19</v>
      </c>
      <c r="C1034" s="1">
        <f>IFERROR(__xludf.DUMMYFUNCTION("""COMPUTED_VALUE"""),88.25)</f>
        <v>88.25</v>
      </c>
      <c r="D1034" s="1">
        <f>IFERROR(__xludf.DUMMYFUNCTION("""COMPUTED_VALUE"""),86.31)</f>
        <v>86.31</v>
      </c>
      <c r="E1034" s="1">
        <f>IFERROR(__xludf.DUMMYFUNCTION("""COMPUTED_VALUE"""),87.47)</f>
        <v>87.47</v>
      </c>
      <c r="F1034" s="1">
        <f>IFERROR(__xludf.DUMMYFUNCTION("""COMPUTED_VALUE"""),65601.0)</f>
        <v>65601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IFERROR(__xludf.DUMMYFUNCTION("""COMPUTED_VALUE"""),87.73)</f>
        <v>87.73</v>
      </c>
      <c r="C1035" s="1">
        <f>IFERROR(__xludf.DUMMYFUNCTION("""COMPUTED_VALUE"""),88.56)</f>
        <v>88.56</v>
      </c>
      <c r="D1035" s="1">
        <f>IFERROR(__xludf.DUMMYFUNCTION("""COMPUTED_VALUE"""),86.96)</f>
        <v>86.96</v>
      </c>
      <c r="E1035" s="1">
        <f>IFERROR(__xludf.DUMMYFUNCTION("""COMPUTED_VALUE"""),88.46)</f>
        <v>88.46</v>
      </c>
      <c r="F1035" s="1">
        <f>IFERROR(__xludf.DUMMYFUNCTION("""COMPUTED_VALUE"""),58096.0)</f>
        <v>58096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IFERROR(__xludf.DUMMYFUNCTION("""COMPUTED_VALUE"""),88.28)</f>
        <v>88.28</v>
      </c>
      <c r="C1036" s="1">
        <f>IFERROR(__xludf.DUMMYFUNCTION("""COMPUTED_VALUE"""),88.84)</f>
        <v>88.84</v>
      </c>
      <c r="D1036" s="1">
        <f>IFERROR(__xludf.DUMMYFUNCTION("""COMPUTED_VALUE"""),87.53)</f>
        <v>87.53</v>
      </c>
      <c r="E1036" s="1">
        <f>IFERROR(__xludf.DUMMYFUNCTION("""COMPUTED_VALUE"""),88.16)</f>
        <v>88.16</v>
      </c>
      <c r="F1036" s="1">
        <f>IFERROR(__xludf.DUMMYFUNCTION("""COMPUTED_VALUE"""),44156.0)</f>
        <v>44156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IFERROR(__xludf.DUMMYFUNCTION("""COMPUTED_VALUE"""),87.19)</f>
        <v>87.19</v>
      </c>
      <c r="C1037" s="1">
        <f>IFERROR(__xludf.DUMMYFUNCTION("""COMPUTED_VALUE"""),89.66)</f>
        <v>89.66</v>
      </c>
      <c r="D1037" s="1">
        <f>IFERROR(__xludf.DUMMYFUNCTION("""COMPUTED_VALUE"""),87.19)</f>
        <v>87.19</v>
      </c>
      <c r="E1037" s="1">
        <f>IFERROR(__xludf.DUMMYFUNCTION("""COMPUTED_VALUE"""),89.33)</f>
        <v>89.33</v>
      </c>
      <c r="F1037" s="1">
        <f>IFERROR(__xludf.DUMMYFUNCTION("""COMPUTED_VALUE"""),112813.0)</f>
        <v>112813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IFERROR(__xludf.DUMMYFUNCTION("""COMPUTED_VALUE"""),89.39)</f>
        <v>89.39</v>
      </c>
      <c r="C1038" s="1">
        <f>IFERROR(__xludf.DUMMYFUNCTION("""COMPUTED_VALUE"""),89.5)</f>
        <v>89.5</v>
      </c>
      <c r="D1038" s="1">
        <f>IFERROR(__xludf.DUMMYFUNCTION("""COMPUTED_VALUE"""),88.21)</f>
        <v>88.21</v>
      </c>
      <c r="E1038" s="1">
        <f>IFERROR(__xludf.DUMMYFUNCTION("""COMPUTED_VALUE"""),89.35)</f>
        <v>89.35</v>
      </c>
      <c r="F1038" s="1">
        <f>IFERROR(__xludf.DUMMYFUNCTION("""COMPUTED_VALUE"""),85762.0)</f>
        <v>85762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IFERROR(__xludf.DUMMYFUNCTION("""COMPUTED_VALUE"""),89.25)</f>
        <v>89.25</v>
      </c>
      <c r="C1039" s="1">
        <f>IFERROR(__xludf.DUMMYFUNCTION("""COMPUTED_VALUE"""),91.68)</f>
        <v>91.68</v>
      </c>
      <c r="D1039" s="1">
        <f>IFERROR(__xludf.DUMMYFUNCTION("""COMPUTED_VALUE"""),89.25)</f>
        <v>89.25</v>
      </c>
      <c r="E1039" s="1">
        <f>IFERROR(__xludf.DUMMYFUNCTION("""COMPUTED_VALUE"""),90.02)</f>
        <v>90.02</v>
      </c>
      <c r="F1039" s="1">
        <f>IFERROR(__xludf.DUMMYFUNCTION("""COMPUTED_VALUE"""),65301.0)</f>
        <v>65301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IFERROR(__xludf.DUMMYFUNCTION("""COMPUTED_VALUE"""),89.52)</f>
        <v>89.52</v>
      </c>
      <c r="C1040" s="1">
        <f>IFERROR(__xludf.DUMMYFUNCTION("""COMPUTED_VALUE"""),90.71)</f>
        <v>90.71</v>
      </c>
      <c r="D1040" s="1">
        <f>IFERROR(__xludf.DUMMYFUNCTION("""COMPUTED_VALUE"""),89.23)</f>
        <v>89.23</v>
      </c>
      <c r="E1040" s="1">
        <f>IFERROR(__xludf.DUMMYFUNCTION("""COMPUTED_VALUE"""),89.23)</f>
        <v>89.23</v>
      </c>
      <c r="F1040" s="1">
        <f>IFERROR(__xludf.DUMMYFUNCTION("""COMPUTED_VALUE"""),58519.0)</f>
        <v>58519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IFERROR(__xludf.DUMMYFUNCTION("""COMPUTED_VALUE"""),89.61)</f>
        <v>89.61</v>
      </c>
      <c r="C1041" s="1">
        <f>IFERROR(__xludf.DUMMYFUNCTION("""COMPUTED_VALUE"""),90.78)</f>
        <v>90.78</v>
      </c>
      <c r="D1041" s="1">
        <f>IFERROR(__xludf.DUMMYFUNCTION("""COMPUTED_VALUE"""),89.39)</f>
        <v>89.39</v>
      </c>
      <c r="E1041" s="1">
        <f>IFERROR(__xludf.DUMMYFUNCTION("""COMPUTED_VALUE"""),90.62)</f>
        <v>90.62</v>
      </c>
      <c r="F1041" s="1">
        <f>IFERROR(__xludf.DUMMYFUNCTION("""COMPUTED_VALUE"""),28043.0)</f>
        <v>28043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IFERROR(__xludf.DUMMYFUNCTION("""COMPUTED_VALUE"""),90.6)</f>
        <v>90.6</v>
      </c>
      <c r="C1042" s="1">
        <f>IFERROR(__xludf.DUMMYFUNCTION("""COMPUTED_VALUE"""),91.42)</f>
        <v>91.42</v>
      </c>
      <c r="D1042" s="1">
        <f>IFERROR(__xludf.DUMMYFUNCTION("""COMPUTED_VALUE"""),89.58)</f>
        <v>89.58</v>
      </c>
      <c r="E1042" s="1">
        <f>IFERROR(__xludf.DUMMYFUNCTION("""COMPUTED_VALUE"""),90.24)</f>
        <v>90.24</v>
      </c>
      <c r="F1042" s="1">
        <f>IFERROR(__xludf.DUMMYFUNCTION("""COMPUTED_VALUE"""),37941.0)</f>
        <v>37941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IFERROR(__xludf.DUMMYFUNCTION("""COMPUTED_VALUE"""),90.73)</f>
        <v>90.73</v>
      </c>
      <c r="C1043" s="1">
        <f>IFERROR(__xludf.DUMMYFUNCTION("""COMPUTED_VALUE"""),91.83)</f>
        <v>91.83</v>
      </c>
      <c r="D1043" s="1">
        <f>IFERROR(__xludf.DUMMYFUNCTION("""COMPUTED_VALUE"""),90.01)</f>
        <v>90.01</v>
      </c>
      <c r="E1043" s="1">
        <f>IFERROR(__xludf.DUMMYFUNCTION("""COMPUTED_VALUE"""),91.43)</f>
        <v>91.43</v>
      </c>
      <c r="F1043" s="1">
        <f>IFERROR(__xludf.DUMMYFUNCTION("""COMPUTED_VALUE"""),46611.0)</f>
        <v>46611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IFERROR(__xludf.DUMMYFUNCTION("""COMPUTED_VALUE"""),91.2)</f>
        <v>91.2</v>
      </c>
      <c r="C1044" s="1">
        <f>IFERROR(__xludf.DUMMYFUNCTION("""COMPUTED_VALUE"""),92.28)</f>
        <v>92.28</v>
      </c>
      <c r="D1044" s="1">
        <f>IFERROR(__xludf.DUMMYFUNCTION("""COMPUTED_VALUE"""),90.22)</f>
        <v>90.22</v>
      </c>
      <c r="E1044" s="1">
        <f>IFERROR(__xludf.DUMMYFUNCTION("""COMPUTED_VALUE"""),91.19)</f>
        <v>91.19</v>
      </c>
      <c r="F1044" s="1">
        <f>IFERROR(__xludf.DUMMYFUNCTION("""COMPUTED_VALUE"""),48100.0)</f>
        <v>48100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IFERROR(__xludf.DUMMYFUNCTION("""COMPUTED_VALUE"""),91.54)</f>
        <v>91.54</v>
      </c>
      <c r="C1045" s="1">
        <f>IFERROR(__xludf.DUMMYFUNCTION("""COMPUTED_VALUE"""),92.41)</f>
        <v>92.41</v>
      </c>
      <c r="D1045" s="1">
        <f>IFERROR(__xludf.DUMMYFUNCTION("""COMPUTED_VALUE"""),91.03)</f>
        <v>91.03</v>
      </c>
      <c r="E1045" s="1">
        <f>IFERROR(__xludf.DUMMYFUNCTION("""COMPUTED_VALUE"""),91.91)</f>
        <v>91.91</v>
      </c>
      <c r="F1045" s="1">
        <f>IFERROR(__xludf.DUMMYFUNCTION("""COMPUTED_VALUE"""),38100.0)</f>
        <v>38100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IFERROR(__xludf.DUMMYFUNCTION("""COMPUTED_VALUE"""),91.86)</f>
        <v>91.86</v>
      </c>
      <c r="C1046" s="1">
        <f>IFERROR(__xludf.DUMMYFUNCTION("""COMPUTED_VALUE"""),91.97)</f>
        <v>91.97</v>
      </c>
      <c r="D1046" s="1">
        <f>IFERROR(__xludf.DUMMYFUNCTION("""COMPUTED_VALUE"""),90.87)</f>
        <v>90.87</v>
      </c>
      <c r="E1046" s="1">
        <f>IFERROR(__xludf.DUMMYFUNCTION("""COMPUTED_VALUE"""),91.86)</f>
        <v>91.86</v>
      </c>
      <c r="F1046" s="1">
        <f>IFERROR(__xludf.DUMMYFUNCTION("""COMPUTED_VALUE"""),49958.0)</f>
        <v>49958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IFERROR(__xludf.DUMMYFUNCTION("""COMPUTED_VALUE"""),92.14)</f>
        <v>92.14</v>
      </c>
      <c r="C1047" s="1">
        <f>IFERROR(__xludf.DUMMYFUNCTION("""COMPUTED_VALUE"""),93.43)</f>
        <v>93.43</v>
      </c>
      <c r="D1047" s="1">
        <f>IFERROR(__xludf.DUMMYFUNCTION("""COMPUTED_VALUE"""),91.71)</f>
        <v>91.71</v>
      </c>
      <c r="E1047" s="1">
        <f>IFERROR(__xludf.DUMMYFUNCTION("""COMPUTED_VALUE"""),92.88)</f>
        <v>92.88</v>
      </c>
      <c r="F1047" s="1">
        <f>IFERROR(__xludf.DUMMYFUNCTION("""COMPUTED_VALUE"""),66678.0)</f>
        <v>66678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IFERROR(__xludf.DUMMYFUNCTION("""COMPUTED_VALUE"""),93.74)</f>
        <v>93.74</v>
      </c>
      <c r="C1048" s="1">
        <f>IFERROR(__xludf.DUMMYFUNCTION("""COMPUTED_VALUE"""),93.77)</f>
        <v>93.77</v>
      </c>
      <c r="D1048" s="1">
        <f>IFERROR(__xludf.DUMMYFUNCTION("""COMPUTED_VALUE"""),91.91)</f>
        <v>91.91</v>
      </c>
      <c r="E1048" s="1">
        <f>IFERROR(__xludf.DUMMYFUNCTION("""COMPUTED_VALUE"""),93.44)</f>
        <v>93.44</v>
      </c>
      <c r="F1048" s="1">
        <f>IFERROR(__xludf.DUMMYFUNCTION("""COMPUTED_VALUE"""),106539.0)</f>
        <v>106539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IFERROR(__xludf.DUMMYFUNCTION("""COMPUTED_VALUE"""),94.74)</f>
        <v>94.74</v>
      </c>
      <c r="C1049" s="1">
        <f>IFERROR(__xludf.DUMMYFUNCTION("""COMPUTED_VALUE"""),96.21)</f>
        <v>96.21</v>
      </c>
      <c r="D1049" s="1">
        <f>IFERROR(__xludf.DUMMYFUNCTION("""COMPUTED_VALUE"""),93.97)</f>
        <v>93.97</v>
      </c>
      <c r="E1049" s="1">
        <f>IFERROR(__xludf.DUMMYFUNCTION("""COMPUTED_VALUE"""),95.2)</f>
        <v>95.2</v>
      </c>
      <c r="F1049" s="1">
        <f>IFERROR(__xludf.DUMMYFUNCTION("""COMPUTED_VALUE"""),246658.0)</f>
        <v>246658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IFERROR(__xludf.DUMMYFUNCTION("""COMPUTED_VALUE"""),94.97)</f>
        <v>94.97</v>
      </c>
      <c r="C1050" s="1">
        <f>IFERROR(__xludf.DUMMYFUNCTION("""COMPUTED_VALUE"""),95.58)</f>
        <v>95.58</v>
      </c>
      <c r="D1050" s="1">
        <f>IFERROR(__xludf.DUMMYFUNCTION("""COMPUTED_VALUE"""),94.3)</f>
        <v>94.3</v>
      </c>
      <c r="E1050" s="1">
        <f>IFERROR(__xludf.DUMMYFUNCTION("""COMPUTED_VALUE"""),94.65)</f>
        <v>94.65</v>
      </c>
      <c r="F1050" s="1">
        <f>IFERROR(__xludf.DUMMYFUNCTION("""COMPUTED_VALUE"""),45809.0)</f>
        <v>45809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IFERROR(__xludf.DUMMYFUNCTION("""COMPUTED_VALUE"""),94.78)</f>
        <v>94.78</v>
      </c>
      <c r="C1051" s="1">
        <f>IFERROR(__xludf.DUMMYFUNCTION("""COMPUTED_VALUE"""),96.23)</f>
        <v>96.23</v>
      </c>
      <c r="D1051" s="1">
        <f>IFERROR(__xludf.DUMMYFUNCTION("""COMPUTED_VALUE"""),94.42)</f>
        <v>94.42</v>
      </c>
      <c r="E1051" s="1">
        <f>IFERROR(__xludf.DUMMYFUNCTION("""COMPUTED_VALUE"""),95.89)</f>
        <v>95.89</v>
      </c>
      <c r="F1051" s="1">
        <f>IFERROR(__xludf.DUMMYFUNCTION("""COMPUTED_VALUE"""),39221.0)</f>
        <v>39221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IFERROR(__xludf.DUMMYFUNCTION("""COMPUTED_VALUE"""),95.99)</f>
        <v>95.99</v>
      </c>
      <c r="C1052" s="1">
        <f>IFERROR(__xludf.DUMMYFUNCTION("""COMPUTED_VALUE"""),96.6)</f>
        <v>96.6</v>
      </c>
      <c r="D1052" s="1">
        <f>IFERROR(__xludf.DUMMYFUNCTION("""COMPUTED_VALUE"""),95.3)</f>
        <v>95.3</v>
      </c>
      <c r="E1052" s="1">
        <f>IFERROR(__xludf.DUMMYFUNCTION("""COMPUTED_VALUE"""),95.42)</f>
        <v>95.42</v>
      </c>
      <c r="F1052" s="1">
        <f>IFERROR(__xludf.DUMMYFUNCTION("""COMPUTED_VALUE"""),51490.0)</f>
        <v>51490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IFERROR(__xludf.DUMMYFUNCTION("""COMPUTED_VALUE"""),95.48)</f>
        <v>95.48</v>
      </c>
      <c r="C1053" s="1">
        <f>IFERROR(__xludf.DUMMYFUNCTION("""COMPUTED_VALUE"""),95.93)</f>
        <v>95.93</v>
      </c>
      <c r="D1053" s="1">
        <f>IFERROR(__xludf.DUMMYFUNCTION("""COMPUTED_VALUE"""),94.78)</f>
        <v>94.78</v>
      </c>
      <c r="E1053" s="1">
        <f>IFERROR(__xludf.DUMMYFUNCTION("""COMPUTED_VALUE"""),95.63)</f>
        <v>95.63</v>
      </c>
      <c r="F1053" s="1">
        <f>IFERROR(__xludf.DUMMYFUNCTION("""COMPUTED_VALUE"""),51254.0)</f>
        <v>51254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IFERROR(__xludf.DUMMYFUNCTION("""COMPUTED_VALUE"""),95.47)</f>
        <v>95.47</v>
      </c>
      <c r="C1054" s="1">
        <f>IFERROR(__xludf.DUMMYFUNCTION("""COMPUTED_VALUE"""),95.55)</f>
        <v>95.55</v>
      </c>
      <c r="D1054" s="1">
        <f>IFERROR(__xludf.DUMMYFUNCTION("""COMPUTED_VALUE"""),93.85)</f>
        <v>93.85</v>
      </c>
      <c r="E1054" s="1">
        <f>IFERROR(__xludf.DUMMYFUNCTION("""COMPUTED_VALUE"""),95.06)</f>
        <v>95.06</v>
      </c>
      <c r="F1054" s="1">
        <f>IFERROR(__xludf.DUMMYFUNCTION("""COMPUTED_VALUE"""),35478.0)</f>
        <v>35478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IFERROR(__xludf.DUMMYFUNCTION("""COMPUTED_VALUE"""),94.49)</f>
        <v>94.49</v>
      </c>
      <c r="C1055" s="1">
        <f>IFERROR(__xludf.DUMMYFUNCTION("""COMPUTED_VALUE"""),95.41)</f>
        <v>95.41</v>
      </c>
      <c r="D1055" s="1">
        <f>IFERROR(__xludf.DUMMYFUNCTION("""COMPUTED_VALUE"""),94.37)</f>
        <v>94.37</v>
      </c>
      <c r="E1055" s="1">
        <f>IFERROR(__xludf.DUMMYFUNCTION("""COMPUTED_VALUE"""),94.96)</f>
        <v>94.96</v>
      </c>
      <c r="F1055" s="1">
        <f>IFERROR(__xludf.DUMMYFUNCTION("""COMPUTED_VALUE"""),51782.0)</f>
        <v>51782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IFERROR(__xludf.DUMMYFUNCTION("""COMPUTED_VALUE"""),95.02)</f>
        <v>95.02</v>
      </c>
      <c r="C1056" s="1">
        <f>IFERROR(__xludf.DUMMYFUNCTION("""COMPUTED_VALUE"""),95.6)</f>
        <v>95.6</v>
      </c>
      <c r="D1056" s="1">
        <f>IFERROR(__xludf.DUMMYFUNCTION("""COMPUTED_VALUE"""),94.14)</f>
        <v>94.14</v>
      </c>
      <c r="E1056" s="1">
        <f>IFERROR(__xludf.DUMMYFUNCTION("""COMPUTED_VALUE"""),94.89)</f>
        <v>94.89</v>
      </c>
      <c r="F1056" s="1">
        <f>IFERROR(__xludf.DUMMYFUNCTION("""COMPUTED_VALUE"""),40076.0)</f>
        <v>40076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IFERROR(__xludf.DUMMYFUNCTION("""COMPUTED_VALUE"""),94.45)</f>
        <v>94.45</v>
      </c>
      <c r="C1057" s="1">
        <f>IFERROR(__xludf.DUMMYFUNCTION("""COMPUTED_VALUE"""),96.25)</f>
        <v>96.25</v>
      </c>
      <c r="D1057" s="1">
        <f>IFERROR(__xludf.DUMMYFUNCTION("""COMPUTED_VALUE"""),94.45)</f>
        <v>94.45</v>
      </c>
      <c r="E1057" s="1">
        <f>IFERROR(__xludf.DUMMYFUNCTION("""COMPUTED_VALUE"""),96.02)</f>
        <v>96.02</v>
      </c>
      <c r="F1057" s="1">
        <f>IFERROR(__xludf.DUMMYFUNCTION("""COMPUTED_VALUE"""),37028.0)</f>
        <v>37028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IFERROR(__xludf.DUMMYFUNCTION("""COMPUTED_VALUE"""),96.4)</f>
        <v>96.4</v>
      </c>
      <c r="C1058" s="1">
        <f>IFERROR(__xludf.DUMMYFUNCTION("""COMPUTED_VALUE"""),96.75)</f>
        <v>96.75</v>
      </c>
      <c r="D1058" s="1">
        <f>IFERROR(__xludf.DUMMYFUNCTION("""COMPUTED_VALUE"""),95.77)</f>
        <v>95.77</v>
      </c>
      <c r="E1058" s="1">
        <f>IFERROR(__xludf.DUMMYFUNCTION("""COMPUTED_VALUE"""),96.4)</f>
        <v>96.4</v>
      </c>
      <c r="F1058" s="1">
        <f>IFERROR(__xludf.DUMMYFUNCTION("""COMPUTED_VALUE"""),39615.0)</f>
        <v>39615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IFERROR(__xludf.DUMMYFUNCTION("""COMPUTED_VALUE"""),96.22)</f>
        <v>96.22</v>
      </c>
      <c r="C1059" s="1">
        <f>IFERROR(__xludf.DUMMYFUNCTION("""COMPUTED_VALUE"""),96.48)</f>
        <v>96.48</v>
      </c>
      <c r="D1059" s="1">
        <f>IFERROR(__xludf.DUMMYFUNCTION("""COMPUTED_VALUE"""),96.02)</f>
        <v>96.02</v>
      </c>
      <c r="E1059" s="1">
        <f>IFERROR(__xludf.DUMMYFUNCTION("""COMPUTED_VALUE"""),96.35)</f>
        <v>96.35</v>
      </c>
      <c r="F1059" s="1">
        <f>IFERROR(__xludf.DUMMYFUNCTION("""COMPUTED_VALUE"""),49090.0)</f>
        <v>49090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IFERROR(__xludf.DUMMYFUNCTION("""COMPUTED_VALUE"""),96.1)</f>
        <v>96.1</v>
      </c>
      <c r="C1060" s="1">
        <f>IFERROR(__xludf.DUMMYFUNCTION("""COMPUTED_VALUE"""),96.43)</f>
        <v>96.43</v>
      </c>
      <c r="D1060" s="1">
        <f>IFERROR(__xludf.DUMMYFUNCTION("""COMPUTED_VALUE"""),95.02)</f>
        <v>95.02</v>
      </c>
      <c r="E1060" s="1">
        <f>IFERROR(__xludf.DUMMYFUNCTION("""COMPUTED_VALUE"""),95.16)</f>
        <v>95.16</v>
      </c>
      <c r="F1060" s="1">
        <f>IFERROR(__xludf.DUMMYFUNCTION("""COMPUTED_VALUE"""),27917.0)</f>
        <v>27917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IFERROR(__xludf.DUMMYFUNCTION("""COMPUTED_VALUE"""),95.1)</f>
        <v>95.1</v>
      </c>
      <c r="C1061" s="1">
        <f>IFERROR(__xludf.DUMMYFUNCTION("""COMPUTED_VALUE"""),95.77)</f>
        <v>95.77</v>
      </c>
      <c r="D1061" s="1">
        <f>IFERROR(__xludf.DUMMYFUNCTION("""COMPUTED_VALUE"""),95.07)</f>
        <v>95.07</v>
      </c>
      <c r="E1061" s="1">
        <f>IFERROR(__xludf.DUMMYFUNCTION("""COMPUTED_VALUE"""),95.37)</f>
        <v>95.37</v>
      </c>
      <c r="F1061" s="1">
        <f>IFERROR(__xludf.DUMMYFUNCTION("""COMPUTED_VALUE"""),37536.0)</f>
        <v>37536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IFERROR(__xludf.DUMMYFUNCTION("""COMPUTED_VALUE"""),95.89)</f>
        <v>95.89</v>
      </c>
      <c r="C1062" s="1">
        <f>IFERROR(__xludf.DUMMYFUNCTION("""COMPUTED_VALUE"""),95.99)</f>
        <v>95.99</v>
      </c>
      <c r="D1062" s="1">
        <f>IFERROR(__xludf.DUMMYFUNCTION("""COMPUTED_VALUE"""),94.96)</f>
        <v>94.96</v>
      </c>
      <c r="E1062" s="1">
        <f>IFERROR(__xludf.DUMMYFUNCTION("""COMPUTED_VALUE"""),95.14)</f>
        <v>95.14</v>
      </c>
      <c r="F1062" s="1">
        <f>IFERROR(__xludf.DUMMYFUNCTION("""COMPUTED_VALUE"""),72044.0)</f>
        <v>72044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IFERROR(__xludf.DUMMYFUNCTION("""COMPUTED_VALUE"""),95.39)</f>
        <v>95.39</v>
      </c>
      <c r="C1063" s="1">
        <f>IFERROR(__xludf.DUMMYFUNCTION("""COMPUTED_VALUE"""),95.69)</f>
        <v>95.69</v>
      </c>
      <c r="D1063" s="1">
        <f>IFERROR(__xludf.DUMMYFUNCTION("""COMPUTED_VALUE"""),94.23)</f>
        <v>94.23</v>
      </c>
      <c r="E1063" s="1">
        <f>IFERROR(__xludf.DUMMYFUNCTION("""COMPUTED_VALUE"""),94.97)</f>
        <v>94.97</v>
      </c>
      <c r="F1063" s="1">
        <f>IFERROR(__xludf.DUMMYFUNCTION("""COMPUTED_VALUE"""),59659.0)</f>
        <v>59659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IFERROR(__xludf.DUMMYFUNCTION("""COMPUTED_VALUE"""),95.42)</f>
        <v>95.42</v>
      </c>
      <c r="C1064" s="1">
        <f>IFERROR(__xludf.DUMMYFUNCTION("""COMPUTED_VALUE"""),96.48)</f>
        <v>96.48</v>
      </c>
      <c r="D1064" s="1">
        <f>IFERROR(__xludf.DUMMYFUNCTION("""COMPUTED_VALUE"""),95.18)</f>
        <v>95.18</v>
      </c>
      <c r="E1064" s="1">
        <f>IFERROR(__xludf.DUMMYFUNCTION("""COMPUTED_VALUE"""),95.23)</f>
        <v>95.23</v>
      </c>
      <c r="F1064" s="1">
        <f>IFERROR(__xludf.DUMMYFUNCTION("""COMPUTED_VALUE"""),60032.0)</f>
        <v>60032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IFERROR(__xludf.DUMMYFUNCTION("""COMPUTED_VALUE"""),95.74)</f>
        <v>95.74</v>
      </c>
      <c r="C1065" s="1">
        <f>IFERROR(__xludf.DUMMYFUNCTION("""COMPUTED_VALUE"""),95.88)</f>
        <v>95.88</v>
      </c>
      <c r="D1065" s="1">
        <f>IFERROR(__xludf.DUMMYFUNCTION("""COMPUTED_VALUE"""),94.53)</f>
        <v>94.53</v>
      </c>
      <c r="E1065" s="1">
        <f>IFERROR(__xludf.DUMMYFUNCTION("""COMPUTED_VALUE"""),94.53)</f>
        <v>94.53</v>
      </c>
      <c r="F1065" s="1">
        <f>IFERROR(__xludf.DUMMYFUNCTION("""COMPUTED_VALUE"""),47108.0)</f>
        <v>47108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IFERROR(__xludf.DUMMYFUNCTION("""COMPUTED_VALUE"""),94.39)</f>
        <v>94.39</v>
      </c>
      <c r="C1066" s="1">
        <f>IFERROR(__xludf.DUMMYFUNCTION("""COMPUTED_VALUE"""),94.85)</f>
        <v>94.85</v>
      </c>
      <c r="D1066" s="1">
        <f>IFERROR(__xludf.DUMMYFUNCTION("""COMPUTED_VALUE"""),93.66)</f>
        <v>93.66</v>
      </c>
      <c r="E1066" s="1">
        <f>IFERROR(__xludf.DUMMYFUNCTION("""COMPUTED_VALUE"""),94.07)</f>
        <v>94.07</v>
      </c>
      <c r="F1066" s="1">
        <f>IFERROR(__xludf.DUMMYFUNCTION("""COMPUTED_VALUE"""),52054.0)</f>
        <v>52054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IFERROR(__xludf.DUMMYFUNCTION("""COMPUTED_VALUE"""),93.92)</f>
        <v>93.92</v>
      </c>
      <c r="C1067" s="1">
        <f>IFERROR(__xludf.DUMMYFUNCTION("""COMPUTED_VALUE"""),95.66)</f>
        <v>95.66</v>
      </c>
      <c r="D1067" s="1">
        <f>IFERROR(__xludf.DUMMYFUNCTION("""COMPUTED_VALUE"""),93.92)</f>
        <v>93.92</v>
      </c>
      <c r="E1067" s="1">
        <f>IFERROR(__xludf.DUMMYFUNCTION("""COMPUTED_VALUE"""),94.64)</f>
        <v>94.64</v>
      </c>
      <c r="F1067" s="1">
        <f>IFERROR(__xludf.DUMMYFUNCTION("""COMPUTED_VALUE"""),57071.0)</f>
        <v>57071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IFERROR(__xludf.DUMMYFUNCTION("""COMPUTED_VALUE"""),95.3)</f>
        <v>95.3</v>
      </c>
      <c r="C1068" s="1">
        <f>IFERROR(__xludf.DUMMYFUNCTION("""COMPUTED_VALUE"""),96.23)</f>
        <v>96.23</v>
      </c>
      <c r="D1068" s="1">
        <f>IFERROR(__xludf.DUMMYFUNCTION("""COMPUTED_VALUE"""),94.67)</f>
        <v>94.67</v>
      </c>
      <c r="E1068" s="1">
        <f>IFERROR(__xludf.DUMMYFUNCTION("""COMPUTED_VALUE"""),95.97)</f>
        <v>95.97</v>
      </c>
      <c r="F1068" s="1">
        <f>IFERROR(__xludf.DUMMYFUNCTION("""COMPUTED_VALUE"""),51660.0)</f>
        <v>51660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IFERROR(__xludf.DUMMYFUNCTION("""COMPUTED_VALUE"""),96.33)</f>
        <v>96.33</v>
      </c>
      <c r="C1069" s="1">
        <f>IFERROR(__xludf.DUMMYFUNCTION("""COMPUTED_VALUE"""),96.84)</f>
        <v>96.84</v>
      </c>
      <c r="D1069" s="1">
        <f>IFERROR(__xludf.DUMMYFUNCTION("""COMPUTED_VALUE"""),95.4)</f>
        <v>95.4</v>
      </c>
      <c r="E1069" s="1">
        <f>IFERROR(__xludf.DUMMYFUNCTION("""COMPUTED_VALUE"""),96.55)</f>
        <v>96.55</v>
      </c>
      <c r="F1069" s="1">
        <f>IFERROR(__xludf.DUMMYFUNCTION("""COMPUTED_VALUE"""),35985.0)</f>
        <v>35985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IFERROR(__xludf.DUMMYFUNCTION("""COMPUTED_VALUE"""),96.48)</f>
        <v>96.48</v>
      </c>
      <c r="C1070" s="1">
        <f>IFERROR(__xludf.DUMMYFUNCTION("""COMPUTED_VALUE"""),97.09)</f>
        <v>97.09</v>
      </c>
      <c r="D1070" s="1">
        <f>IFERROR(__xludf.DUMMYFUNCTION("""COMPUTED_VALUE"""),95.36)</f>
        <v>95.36</v>
      </c>
      <c r="E1070" s="1">
        <f>IFERROR(__xludf.DUMMYFUNCTION("""COMPUTED_VALUE"""),96.92)</f>
        <v>96.92</v>
      </c>
      <c r="F1070" s="1">
        <f>IFERROR(__xludf.DUMMYFUNCTION("""COMPUTED_VALUE"""),31340.0)</f>
        <v>31340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IFERROR(__xludf.DUMMYFUNCTION("""COMPUTED_VALUE"""),96.64)</f>
        <v>96.64</v>
      </c>
      <c r="C1071" s="1">
        <f>IFERROR(__xludf.DUMMYFUNCTION("""COMPUTED_VALUE"""),96.73)</f>
        <v>96.73</v>
      </c>
      <c r="D1071" s="1">
        <f>IFERROR(__xludf.DUMMYFUNCTION("""COMPUTED_VALUE"""),95.33)</f>
        <v>95.33</v>
      </c>
      <c r="E1071" s="1">
        <f>IFERROR(__xludf.DUMMYFUNCTION("""COMPUTED_VALUE"""),96.28)</f>
        <v>96.28</v>
      </c>
      <c r="F1071" s="1">
        <f>IFERROR(__xludf.DUMMYFUNCTION("""COMPUTED_VALUE"""),41025.0)</f>
        <v>41025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IFERROR(__xludf.DUMMYFUNCTION("""COMPUTED_VALUE"""),96.91)</f>
        <v>96.91</v>
      </c>
      <c r="C1072" s="1">
        <f>IFERROR(__xludf.DUMMYFUNCTION("""COMPUTED_VALUE"""),96.91)</f>
        <v>96.91</v>
      </c>
      <c r="D1072" s="1">
        <f>IFERROR(__xludf.DUMMYFUNCTION("""COMPUTED_VALUE"""),92.8)</f>
        <v>92.8</v>
      </c>
      <c r="E1072" s="1">
        <f>IFERROR(__xludf.DUMMYFUNCTION("""COMPUTED_VALUE"""),93.17)</f>
        <v>93.17</v>
      </c>
      <c r="F1072" s="1">
        <f>IFERROR(__xludf.DUMMYFUNCTION("""COMPUTED_VALUE"""),60146.0)</f>
        <v>60146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IFERROR(__xludf.DUMMYFUNCTION("""COMPUTED_VALUE"""),93.07)</f>
        <v>93.07</v>
      </c>
      <c r="C1073" s="1">
        <f>IFERROR(__xludf.DUMMYFUNCTION("""COMPUTED_VALUE"""),94.83)</f>
        <v>94.83</v>
      </c>
      <c r="D1073" s="1">
        <f>IFERROR(__xludf.DUMMYFUNCTION("""COMPUTED_VALUE"""),92.51)</f>
        <v>92.51</v>
      </c>
      <c r="E1073" s="1">
        <f>IFERROR(__xludf.DUMMYFUNCTION("""COMPUTED_VALUE"""),94.24)</f>
        <v>94.24</v>
      </c>
      <c r="F1073" s="1">
        <f>IFERROR(__xludf.DUMMYFUNCTION("""COMPUTED_VALUE"""),56121.0)</f>
        <v>56121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IFERROR(__xludf.DUMMYFUNCTION("""COMPUTED_VALUE"""),94.63)</f>
        <v>94.63</v>
      </c>
      <c r="C1074" s="1">
        <f>IFERROR(__xludf.DUMMYFUNCTION("""COMPUTED_VALUE"""),96.0)</f>
        <v>96</v>
      </c>
      <c r="D1074" s="1">
        <f>IFERROR(__xludf.DUMMYFUNCTION("""COMPUTED_VALUE"""),93.83)</f>
        <v>93.83</v>
      </c>
      <c r="E1074" s="1">
        <f>IFERROR(__xludf.DUMMYFUNCTION("""COMPUTED_VALUE"""),95.51)</f>
        <v>95.51</v>
      </c>
      <c r="F1074" s="1">
        <f>IFERROR(__xludf.DUMMYFUNCTION("""COMPUTED_VALUE"""),56776.0)</f>
        <v>56776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IFERROR(__xludf.DUMMYFUNCTION("""COMPUTED_VALUE"""),95.98)</f>
        <v>95.98</v>
      </c>
      <c r="C1075" s="1">
        <f>IFERROR(__xludf.DUMMYFUNCTION("""COMPUTED_VALUE"""),95.98)</f>
        <v>95.98</v>
      </c>
      <c r="D1075" s="1">
        <f>IFERROR(__xludf.DUMMYFUNCTION("""COMPUTED_VALUE"""),94.25)</f>
        <v>94.25</v>
      </c>
      <c r="E1075" s="1">
        <f>IFERROR(__xludf.DUMMYFUNCTION("""COMPUTED_VALUE"""),95.56)</f>
        <v>95.56</v>
      </c>
      <c r="F1075" s="1">
        <f>IFERROR(__xludf.DUMMYFUNCTION("""COMPUTED_VALUE"""),138368.0)</f>
        <v>138368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IFERROR(__xludf.DUMMYFUNCTION("""COMPUTED_VALUE"""),95.18)</f>
        <v>95.18</v>
      </c>
      <c r="C1076" s="1">
        <f>IFERROR(__xludf.DUMMYFUNCTION("""COMPUTED_VALUE"""),96.14)</f>
        <v>96.14</v>
      </c>
      <c r="D1076" s="1">
        <f>IFERROR(__xludf.DUMMYFUNCTION("""COMPUTED_VALUE"""),94.73)</f>
        <v>94.73</v>
      </c>
      <c r="E1076" s="1">
        <f>IFERROR(__xludf.DUMMYFUNCTION("""COMPUTED_VALUE"""),95.25)</f>
        <v>95.25</v>
      </c>
      <c r="F1076" s="1">
        <f>IFERROR(__xludf.DUMMYFUNCTION("""COMPUTED_VALUE"""),125848.0)</f>
        <v>125848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IFERROR(__xludf.DUMMYFUNCTION("""COMPUTED_VALUE"""),94.37)</f>
        <v>94.37</v>
      </c>
      <c r="C1077" s="1">
        <f>IFERROR(__xludf.DUMMYFUNCTION("""COMPUTED_VALUE"""),95.52)</f>
        <v>95.52</v>
      </c>
      <c r="D1077" s="1">
        <f>IFERROR(__xludf.DUMMYFUNCTION("""COMPUTED_VALUE"""),93.63)</f>
        <v>93.63</v>
      </c>
      <c r="E1077" s="1">
        <f>IFERROR(__xludf.DUMMYFUNCTION("""COMPUTED_VALUE"""),94.34)</f>
        <v>94.34</v>
      </c>
      <c r="F1077" s="1">
        <f>IFERROR(__xludf.DUMMYFUNCTION("""COMPUTED_VALUE"""),117671.0)</f>
        <v>117671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IFERROR(__xludf.DUMMYFUNCTION("""COMPUTED_VALUE"""),95.43)</f>
        <v>95.43</v>
      </c>
      <c r="C1078" s="1">
        <f>IFERROR(__xludf.DUMMYFUNCTION("""COMPUTED_VALUE"""),95.69)</f>
        <v>95.69</v>
      </c>
      <c r="D1078" s="1">
        <f>IFERROR(__xludf.DUMMYFUNCTION("""COMPUTED_VALUE"""),94.08)</f>
        <v>94.08</v>
      </c>
      <c r="E1078" s="1">
        <f>IFERROR(__xludf.DUMMYFUNCTION("""COMPUTED_VALUE"""),95.37)</f>
        <v>95.37</v>
      </c>
      <c r="F1078" s="1">
        <f>IFERROR(__xludf.DUMMYFUNCTION("""COMPUTED_VALUE"""),91787.0)</f>
        <v>91787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IFERROR(__xludf.DUMMYFUNCTION("""COMPUTED_VALUE"""),95.65)</f>
        <v>95.65</v>
      </c>
      <c r="C1079" s="1">
        <f>IFERROR(__xludf.DUMMYFUNCTION("""COMPUTED_VALUE"""),96.1)</f>
        <v>96.1</v>
      </c>
      <c r="D1079" s="1">
        <f>IFERROR(__xludf.DUMMYFUNCTION("""COMPUTED_VALUE"""),93.85)</f>
        <v>93.85</v>
      </c>
      <c r="E1079" s="1">
        <f>IFERROR(__xludf.DUMMYFUNCTION("""COMPUTED_VALUE"""),95.57)</f>
        <v>95.57</v>
      </c>
      <c r="F1079" s="1">
        <f>IFERROR(__xludf.DUMMYFUNCTION("""COMPUTED_VALUE"""),98753.0)</f>
        <v>98753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IFERROR(__xludf.DUMMYFUNCTION("""COMPUTED_VALUE"""),96.01)</f>
        <v>96.01</v>
      </c>
      <c r="C1080" s="1">
        <f>IFERROR(__xludf.DUMMYFUNCTION("""COMPUTED_VALUE"""),97.09)</f>
        <v>97.09</v>
      </c>
      <c r="D1080" s="1">
        <f>IFERROR(__xludf.DUMMYFUNCTION("""COMPUTED_VALUE"""),95.09)</f>
        <v>95.09</v>
      </c>
      <c r="E1080" s="1">
        <f>IFERROR(__xludf.DUMMYFUNCTION("""COMPUTED_VALUE"""),96.98)</f>
        <v>96.98</v>
      </c>
      <c r="F1080" s="1">
        <f>IFERROR(__xludf.DUMMYFUNCTION("""COMPUTED_VALUE"""),42095.0)</f>
        <v>42095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IFERROR(__xludf.DUMMYFUNCTION("""COMPUTED_VALUE"""),97.17)</f>
        <v>97.17</v>
      </c>
      <c r="C1081" s="1">
        <f>IFERROR(__xludf.DUMMYFUNCTION("""COMPUTED_VALUE"""),97.24)</f>
        <v>97.24</v>
      </c>
      <c r="D1081" s="1">
        <f>IFERROR(__xludf.DUMMYFUNCTION("""COMPUTED_VALUE"""),96.05)</f>
        <v>96.05</v>
      </c>
      <c r="E1081" s="1">
        <f>IFERROR(__xludf.DUMMYFUNCTION("""COMPUTED_VALUE"""),96.95)</f>
        <v>96.95</v>
      </c>
      <c r="F1081" s="1">
        <f>IFERROR(__xludf.DUMMYFUNCTION("""COMPUTED_VALUE"""),51982.0)</f>
        <v>51982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IFERROR(__xludf.DUMMYFUNCTION("""COMPUTED_VALUE"""),97.44)</f>
        <v>97.44</v>
      </c>
      <c r="C1082" s="1">
        <f>IFERROR(__xludf.DUMMYFUNCTION("""COMPUTED_VALUE"""),97.44)</f>
        <v>97.44</v>
      </c>
      <c r="D1082" s="1">
        <f>IFERROR(__xludf.DUMMYFUNCTION("""COMPUTED_VALUE"""),95.84)</f>
        <v>95.84</v>
      </c>
      <c r="E1082" s="1">
        <f>IFERROR(__xludf.DUMMYFUNCTION("""COMPUTED_VALUE"""),96.39)</f>
        <v>96.39</v>
      </c>
      <c r="F1082" s="1">
        <f>IFERROR(__xludf.DUMMYFUNCTION("""COMPUTED_VALUE"""),53236.0)</f>
        <v>53236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IFERROR(__xludf.DUMMYFUNCTION("""COMPUTED_VALUE"""),96.53)</f>
        <v>96.53</v>
      </c>
      <c r="C1083" s="1">
        <f>IFERROR(__xludf.DUMMYFUNCTION("""COMPUTED_VALUE"""),97.75)</f>
        <v>97.75</v>
      </c>
      <c r="D1083" s="1">
        <f>IFERROR(__xludf.DUMMYFUNCTION("""COMPUTED_VALUE"""),96.09)</f>
        <v>96.09</v>
      </c>
      <c r="E1083" s="1">
        <f>IFERROR(__xludf.DUMMYFUNCTION("""COMPUTED_VALUE"""),97.25)</f>
        <v>97.25</v>
      </c>
      <c r="F1083" s="1">
        <f>IFERROR(__xludf.DUMMYFUNCTION("""COMPUTED_VALUE"""),66875.0)</f>
        <v>66875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IFERROR(__xludf.DUMMYFUNCTION("""COMPUTED_VALUE"""),96.81)</f>
        <v>96.81</v>
      </c>
      <c r="C1084" s="1">
        <f>IFERROR(__xludf.DUMMYFUNCTION("""COMPUTED_VALUE"""),98.34)</f>
        <v>98.34</v>
      </c>
      <c r="D1084" s="1">
        <f>IFERROR(__xludf.DUMMYFUNCTION("""COMPUTED_VALUE"""),96.81)</f>
        <v>96.81</v>
      </c>
      <c r="E1084" s="1">
        <f>IFERROR(__xludf.DUMMYFUNCTION("""COMPUTED_VALUE"""),97.65)</f>
        <v>97.65</v>
      </c>
      <c r="F1084" s="1">
        <f>IFERROR(__xludf.DUMMYFUNCTION("""COMPUTED_VALUE"""),74849.0)</f>
        <v>74849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IFERROR(__xludf.DUMMYFUNCTION("""COMPUTED_VALUE"""),98.19)</f>
        <v>98.19</v>
      </c>
      <c r="C1085" s="1">
        <f>IFERROR(__xludf.DUMMYFUNCTION("""COMPUTED_VALUE"""),98.21)</f>
        <v>98.21</v>
      </c>
      <c r="D1085" s="1">
        <f>IFERROR(__xludf.DUMMYFUNCTION("""COMPUTED_VALUE"""),96.66)</f>
        <v>96.66</v>
      </c>
      <c r="E1085" s="1">
        <f>IFERROR(__xludf.DUMMYFUNCTION("""COMPUTED_VALUE"""),97.98)</f>
        <v>97.98</v>
      </c>
      <c r="F1085" s="1">
        <f>IFERROR(__xludf.DUMMYFUNCTION("""COMPUTED_VALUE"""),94523.0)</f>
        <v>94523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IFERROR(__xludf.DUMMYFUNCTION("""COMPUTED_VALUE"""),98.01)</f>
        <v>98.01</v>
      </c>
      <c r="C1086" s="1">
        <f>IFERROR(__xludf.DUMMYFUNCTION("""COMPUTED_VALUE"""),98.7)</f>
        <v>98.7</v>
      </c>
      <c r="D1086" s="1">
        <f>IFERROR(__xludf.DUMMYFUNCTION("""COMPUTED_VALUE"""),97.61)</f>
        <v>97.61</v>
      </c>
      <c r="E1086" s="1">
        <f>IFERROR(__xludf.DUMMYFUNCTION("""COMPUTED_VALUE"""),98.25)</f>
        <v>98.25</v>
      </c>
      <c r="F1086" s="1">
        <f>IFERROR(__xludf.DUMMYFUNCTION("""COMPUTED_VALUE"""),123107.0)</f>
        <v>123107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IFERROR(__xludf.DUMMYFUNCTION("""COMPUTED_VALUE"""),98.25)</f>
        <v>98.25</v>
      </c>
      <c r="C1087" s="1">
        <f>IFERROR(__xludf.DUMMYFUNCTION("""COMPUTED_VALUE"""),100.0)</f>
        <v>100</v>
      </c>
      <c r="D1087" s="1">
        <f>IFERROR(__xludf.DUMMYFUNCTION("""COMPUTED_VALUE"""),97.45)</f>
        <v>97.45</v>
      </c>
      <c r="E1087" s="1">
        <f>IFERROR(__xludf.DUMMYFUNCTION("""COMPUTED_VALUE"""),99.59)</f>
        <v>99.59</v>
      </c>
      <c r="F1087" s="1">
        <f>IFERROR(__xludf.DUMMYFUNCTION("""COMPUTED_VALUE"""),145900.0)</f>
        <v>145900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IFERROR(__xludf.DUMMYFUNCTION("""COMPUTED_VALUE"""),98.79)</f>
        <v>98.79</v>
      </c>
      <c r="C1088" s="1">
        <f>IFERROR(__xludf.DUMMYFUNCTION("""COMPUTED_VALUE"""),99.49)</f>
        <v>99.49</v>
      </c>
      <c r="D1088" s="1">
        <f>IFERROR(__xludf.DUMMYFUNCTION("""COMPUTED_VALUE"""),94.59)</f>
        <v>94.59</v>
      </c>
      <c r="E1088" s="1">
        <f>IFERROR(__xludf.DUMMYFUNCTION("""COMPUTED_VALUE"""),96.19)</f>
        <v>96.19</v>
      </c>
      <c r="F1088" s="1">
        <f>IFERROR(__xludf.DUMMYFUNCTION("""COMPUTED_VALUE"""),213295.0)</f>
        <v>213295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IFERROR(__xludf.DUMMYFUNCTION("""COMPUTED_VALUE"""),95.61)</f>
        <v>95.61</v>
      </c>
      <c r="C1089" s="1">
        <f>IFERROR(__xludf.DUMMYFUNCTION("""COMPUTED_VALUE"""),97.37)</f>
        <v>97.37</v>
      </c>
      <c r="D1089" s="1">
        <f>IFERROR(__xludf.DUMMYFUNCTION("""COMPUTED_VALUE"""),93.03)</f>
        <v>93.03</v>
      </c>
      <c r="E1089" s="1">
        <f>IFERROR(__xludf.DUMMYFUNCTION("""COMPUTED_VALUE"""),93.6)</f>
        <v>93.6</v>
      </c>
      <c r="F1089" s="1">
        <f>IFERROR(__xludf.DUMMYFUNCTION("""COMPUTED_VALUE"""),147624.0)</f>
        <v>147624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IFERROR(__xludf.DUMMYFUNCTION("""COMPUTED_VALUE"""),93.16)</f>
        <v>93.16</v>
      </c>
      <c r="C1090" s="1">
        <f>IFERROR(__xludf.DUMMYFUNCTION("""COMPUTED_VALUE"""),93.16)</f>
        <v>93.16</v>
      </c>
      <c r="D1090" s="1">
        <f>IFERROR(__xludf.DUMMYFUNCTION("""COMPUTED_VALUE"""),90.52)</f>
        <v>90.52</v>
      </c>
      <c r="E1090" s="1">
        <f>IFERROR(__xludf.DUMMYFUNCTION("""COMPUTED_VALUE"""),91.1)</f>
        <v>91.1</v>
      </c>
      <c r="F1090" s="1">
        <f>IFERROR(__xludf.DUMMYFUNCTION("""COMPUTED_VALUE"""),117244.0)</f>
        <v>117244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IFERROR(__xludf.DUMMYFUNCTION("""COMPUTED_VALUE"""),91.37)</f>
        <v>91.37</v>
      </c>
      <c r="C1091" s="1">
        <f>IFERROR(__xludf.DUMMYFUNCTION("""COMPUTED_VALUE"""),92.9)</f>
        <v>92.9</v>
      </c>
      <c r="D1091" s="1">
        <f>IFERROR(__xludf.DUMMYFUNCTION("""COMPUTED_VALUE"""),91.1)</f>
        <v>91.1</v>
      </c>
      <c r="E1091" s="1">
        <f>IFERROR(__xludf.DUMMYFUNCTION("""COMPUTED_VALUE"""),92.47)</f>
        <v>92.47</v>
      </c>
      <c r="F1091" s="1">
        <f>IFERROR(__xludf.DUMMYFUNCTION("""COMPUTED_VALUE"""),88904.0)</f>
        <v>88904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IFERROR(__xludf.DUMMYFUNCTION("""COMPUTED_VALUE"""),91.44)</f>
        <v>91.44</v>
      </c>
      <c r="C1092" s="1">
        <f>IFERROR(__xludf.DUMMYFUNCTION("""COMPUTED_VALUE"""),92.84)</f>
        <v>92.84</v>
      </c>
      <c r="D1092" s="1">
        <f>IFERROR(__xludf.DUMMYFUNCTION("""COMPUTED_VALUE"""),91.16)</f>
        <v>91.16</v>
      </c>
      <c r="E1092" s="1">
        <f>IFERROR(__xludf.DUMMYFUNCTION("""COMPUTED_VALUE"""),92.18)</f>
        <v>92.18</v>
      </c>
      <c r="F1092" s="1">
        <f>IFERROR(__xludf.DUMMYFUNCTION("""COMPUTED_VALUE"""),79678.0)</f>
        <v>79678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IFERROR(__xludf.DUMMYFUNCTION("""COMPUTED_VALUE"""),91.8)</f>
        <v>91.8</v>
      </c>
      <c r="C1093" s="1">
        <f>IFERROR(__xludf.DUMMYFUNCTION("""COMPUTED_VALUE"""),92.25)</f>
        <v>92.25</v>
      </c>
      <c r="D1093" s="1">
        <f>IFERROR(__xludf.DUMMYFUNCTION("""COMPUTED_VALUE"""),90.84)</f>
        <v>90.84</v>
      </c>
      <c r="E1093" s="1">
        <f>IFERROR(__xludf.DUMMYFUNCTION("""COMPUTED_VALUE"""),91.26)</f>
        <v>91.26</v>
      </c>
      <c r="F1093" s="1">
        <f>IFERROR(__xludf.DUMMYFUNCTION("""COMPUTED_VALUE"""),67717.0)</f>
        <v>67717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IFERROR(__xludf.DUMMYFUNCTION("""COMPUTED_VALUE"""),91.0)</f>
        <v>91</v>
      </c>
      <c r="C1094" s="1">
        <f>IFERROR(__xludf.DUMMYFUNCTION("""COMPUTED_VALUE"""),92.89)</f>
        <v>92.89</v>
      </c>
      <c r="D1094" s="1">
        <f>IFERROR(__xludf.DUMMYFUNCTION("""COMPUTED_VALUE"""),91.0)</f>
        <v>91</v>
      </c>
      <c r="E1094" s="1">
        <f>IFERROR(__xludf.DUMMYFUNCTION("""COMPUTED_VALUE"""),92.86)</f>
        <v>92.86</v>
      </c>
      <c r="F1094" s="1">
        <f>IFERROR(__xludf.DUMMYFUNCTION("""COMPUTED_VALUE"""),80178.0)</f>
        <v>80178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IFERROR(__xludf.DUMMYFUNCTION("""COMPUTED_VALUE"""),92.39)</f>
        <v>92.39</v>
      </c>
      <c r="C1095" s="1">
        <f>IFERROR(__xludf.DUMMYFUNCTION("""COMPUTED_VALUE"""),93.54)</f>
        <v>93.54</v>
      </c>
      <c r="D1095" s="1">
        <f>IFERROR(__xludf.DUMMYFUNCTION("""COMPUTED_VALUE"""),91.64)</f>
        <v>91.64</v>
      </c>
      <c r="E1095" s="1">
        <f>IFERROR(__xludf.DUMMYFUNCTION("""COMPUTED_VALUE"""),92.61)</f>
        <v>92.61</v>
      </c>
      <c r="F1095" s="1">
        <f>IFERROR(__xludf.DUMMYFUNCTION("""COMPUTED_VALUE"""),127938.0)</f>
        <v>127938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IFERROR(__xludf.DUMMYFUNCTION("""COMPUTED_VALUE"""),92.03)</f>
        <v>92.03</v>
      </c>
      <c r="C1096" s="1">
        <f>IFERROR(__xludf.DUMMYFUNCTION("""COMPUTED_VALUE"""),93.4)</f>
        <v>93.4</v>
      </c>
      <c r="D1096" s="1">
        <f>IFERROR(__xludf.DUMMYFUNCTION("""COMPUTED_VALUE"""),91.96)</f>
        <v>91.96</v>
      </c>
      <c r="E1096" s="1">
        <f>IFERROR(__xludf.DUMMYFUNCTION("""COMPUTED_VALUE"""),93.0)</f>
        <v>93</v>
      </c>
      <c r="F1096" s="1">
        <f>IFERROR(__xludf.DUMMYFUNCTION("""COMPUTED_VALUE"""),78598.0)</f>
        <v>78598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IFERROR(__xludf.DUMMYFUNCTION("""COMPUTED_VALUE"""),93.05)</f>
        <v>93.05</v>
      </c>
      <c r="C1097" s="1">
        <f>IFERROR(__xludf.DUMMYFUNCTION("""COMPUTED_VALUE"""),94.29)</f>
        <v>94.29</v>
      </c>
      <c r="D1097" s="1">
        <f>IFERROR(__xludf.DUMMYFUNCTION("""COMPUTED_VALUE"""),93.0)</f>
        <v>93</v>
      </c>
      <c r="E1097" s="1">
        <f>IFERROR(__xludf.DUMMYFUNCTION("""COMPUTED_VALUE"""),94.16)</f>
        <v>94.16</v>
      </c>
      <c r="F1097" s="1">
        <f>IFERROR(__xludf.DUMMYFUNCTION("""COMPUTED_VALUE"""),92592.0)</f>
        <v>92592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IFERROR(__xludf.DUMMYFUNCTION("""COMPUTED_VALUE"""),94.21)</f>
        <v>94.21</v>
      </c>
      <c r="C1098" s="1">
        <f>IFERROR(__xludf.DUMMYFUNCTION("""COMPUTED_VALUE"""),94.53)</f>
        <v>94.53</v>
      </c>
      <c r="D1098" s="1">
        <f>IFERROR(__xludf.DUMMYFUNCTION("""COMPUTED_VALUE"""),93.34)</f>
        <v>93.34</v>
      </c>
      <c r="E1098" s="1">
        <f>IFERROR(__xludf.DUMMYFUNCTION("""COMPUTED_VALUE"""),93.62)</f>
        <v>93.62</v>
      </c>
      <c r="F1098" s="1">
        <f>IFERROR(__xludf.DUMMYFUNCTION("""COMPUTED_VALUE"""),66749.0)</f>
        <v>66749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IFERROR(__xludf.DUMMYFUNCTION("""COMPUTED_VALUE"""),93.73)</f>
        <v>93.73</v>
      </c>
      <c r="C1099" s="1">
        <f>IFERROR(__xludf.DUMMYFUNCTION("""COMPUTED_VALUE"""),93.81)</f>
        <v>93.81</v>
      </c>
      <c r="D1099" s="1">
        <f>IFERROR(__xludf.DUMMYFUNCTION("""COMPUTED_VALUE"""),92.25)</f>
        <v>92.25</v>
      </c>
      <c r="E1099" s="1">
        <f>IFERROR(__xludf.DUMMYFUNCTION("""COMPUTED_VALUE"""),92.3)</f>
        <v>92.3</v>
      </c>
      <c r="F1099" s="1">
        <f>IFERROR(__xludf.DUMMYFUNCTION("""COMPUTED_VALUE"""),121366.0)</f>
        <v>121366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IFERROR(__xludf.DUMMYFUNCTION("""COMPUTED_VALUE"""),91.59)</f>
        <v>91.59</v>
      </c>
      <c r="C1100" s="1">
        <f>IFERROR(__xludf.DUMMYFUNCTION("""COMPUTED_VALUE"""),92.4)</f>
        <v>92.4</v>
      </c>
      <c r="D1100" s="1">
        <f>IFERROR(__xludf.DUMMYFUNCTION("""COMPUTED_VALUE"""),90.25)</f>
        <v>90.25</v>
      </c>
      <c r="E1100" s="1">
        <f>IFERROR(__xludf.DUMMYFUNCTION("""COMPUTED_VALUE"""),90.42)</f>
        <v>90.42</v>
      </c>
      <c r="F1100" s="1">
        <f>IFERROR(__xludf.DUMMYFUNCTION("""COMPUTED_VALUE"""),64192.0)</f>
        <v>64192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IFERROR(__xludf.DUMMYFUNCTION("""COMPUTED_VALUE"""),90.42)</f>
        <v>90.42</v>
      </c>
      <c r="C1101" s="1">
        <f>IFERROR(__xludf.DUMMYFUNCTION("""COMPUTED_VALUE"""),91.88)</f>
        <v>91.88</v>
      </c>
      <c r="D1101" s="1">
        <f>IFERROR(__xludf.DUMMYFUNCTION("""COMPUTED_VALUE"""),90.25)</f>
        <v>90.25</v>
      </c>
      <c r="E1101" s="1">
        <f>IFERROR(__xludf.DUMMYFUNCTION("""COMPUTED_VALUE"""),91.85)</f>
        <v>91.85</v>
      </c>
      <c r="F1101" s="1">
        <f>IFERROR(__xludf.DUMMYFUNCTION("""COMPUTED_VALUE"""),56547.0)</f>
        <v>56547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IFERROR(__xludf.DUMMYFUNCTION("""COMPUTED_VALUE"""),91.57)</f>
        <v>91.57</v>
      </c>
      <c r="C1102" s="1">
        <f>IFERROR(__xludf.DUMMYFUNCTION("""COMPUTED_VALUE"""),93.12)</f>
        <v>93.12</v>
      </c>
      <c r="D1102" s="1">
        <f>IFERROR(__xludf.DUMMYFUNCTION("""COMPUTED_VALUE"""),91.01)</f>
        <v>91.01</v>
      </c>
      <c r="E1102" s="1">
        <f>IFERROR(__xludf.DUMMYFUNCTION("""COMPUTED_VALUE"""),92.82)</f>
        <v>92.82</v>
      </c>
      <c r="F1102" s="1">
        <f>IFERROR(__xludf.DUMMYFUNCTION("""COMPUTED_VALUE"""),69756.0)</f>
        <v>69756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IFERROR(__xludf.DUMMYFUNCTION("""COMPUTED_VALUE"""),92.85)</f>
        <v>92.85</v>
      </c>
      <c r="C1103" s="1">
        <f>IFERROR(__xludf.DUMMYFUNCTION("""COMPUTED_VALUE"""),92.85)</f>
        <v>92.85</v>
      </c>
      <c r="D1103" s="1">
        <f>IFERROR(__xludf.DUMMYFUNCTION("""COMPUTED_VALUE"""),91.3)</f>
        <v>91.3</v>
      </c>
      <c r="E1103" s="1">
        <f>IFERROR(__xludf.DUMMYFUNCTION("""COMPUTED_VALUE"""),92.01)</f>
        <v>92.01</v>
      </c>
      <c r="F1103" s="1">
        <f>IFERROR(__xludf.DUMMYFUNCTION("""COMPUTED_VALUE"""),78826.0)</f>
        <v>78826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IFERROR(__xludf.DUMMYFUNCTION("""COMPUTED_VALUE"""),92.21)</f>
        <v>92.21</v>
      </c>
      <c r="C1104" s="1">
        <f>IFERROR(__xludf.DUMMYFUNCTION("""COMPUTED_VALUE"""),92.77)</f>
        <v>92.77</v>
      </c>
      <c r="D1104" s="1">
        <f>IFERROR(__xludf.DUMMYFUNCTION("""COMPUTED_VALUE"""),91.56)</f>
        <v>91.56</v>
      </c>
      <c r="E1104" s="1">
        <f>IFERROR(__xludf.DUMMYFUNCTION("""COMPUTED_VALUE"""),92.36)</f>
        <v>92.36</v>
      </c>
      <c r="F1104" s="1">
        <f>IFERROR(__xludf.DUMMYFUNCTION("""COMPUTED_VALUE"""),49735.0)</f>
        <v>49735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IFERROR(__xludf.DUMMYFUNCTION("""COMPUTED_VALUE"""),92.59)</f>
        <v>92.59</v>
      </c>
      <c r="C1105" s="1">
        <f>IFERROR(__xludf.DUMMYFUNCTION("""COMPUTED_VALUE"""),94.17)</f>
        <v>94.17</v>
      </c>
      <c r="D1105" s="1">
        <f>IFERROR(__xludf.DUMMYFUNCTION("""COMPUTED_VALUE"""),92.15)</f>
        <v>92.15</v>
      </c>
      <c r="E1105" s="1">
        <f>IFERROR(__xludf.DUMMYFUNCTION("""COMPUTED_VALUE"""),93.17)</f>
        <v>93.17</v>
      </c>
      <c r="F1105" s="1">
        <f>IFERROR(__xludf.DUMMYFUNCTION("""COMPUTED_VALUE"""),56645.0)</f>
        <v>56645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IFERROR(__xludf.DUMMYFUNCTION("""COMPUTED_VALUE"""),93.39)</f>
        <v>93.39</v>
      </c>
      <c r="C1106" s="1">
        <f>IFERROR(__xludf.DUMMYFUNCTION("""COMPUTED_VALUE"""),94.12)</f>
        <v>94.12</v>
      </c>
      <c r="D1106" s="1">
        <f>IFERROR(__xludf.DUMMYFUNCTION("""COMPUTED_VALUE"""),93.11)</f>
        <v>93.11</v>
      </c>
      <c r="E1106" s="1">
        <f>IFERROR(__xludf.DUMMYFUNCTION("""COMPUTED_VALUE"""),93.76)</f>
        <v>93.76</v>
      </c>
      <c r="F1106" s="1">
        <f>IFERROR(__xludf.DUMMYFUNCTION("""COMPUTED_VALUE"""),33099.0)</f>
        <v>33099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IFERROR(__xludf.DUMMYFUNCTION("""COMPUTED_VALUE"""),94.6)</f>
        <v>94.6</v>
      </c>
      <c r="C1107" s="1">
        <f>IFERROR(__xludf.DUMMYFUNCTION("""COMPUTED_VALUE"""),95.11)</f>
        <v>95.11</v>
      </c>
      <c r="D1107" s="1">
        <f>IFERROR(__xludf.DUMMYFUNCTION("""COMPUTED_VALUE"""),94.09)</f>
        <v>94.09</v>
      </c>
      <c r="E1107" s="1">
        <f>IFERROR(__xludf.DUMMYFUNCTION("""COMPUTED_VALUE"""),94.96)</f>
        <v>94.96</v>
      </c>
      <c r="F1107" s="1">
        <f>IFERROR(__xludf.DUMMYFUNCTION("""COMPUTED_VALUE"""),60628.0)</f>
        <v>60628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IFERROR(__xludf.DUMMYFUNCTION("""COMPUTED_VALUE"""),94.58)</f>
        <v>94.58</v>
      </c>
      <c r="C1108" s="1">
        <f>IFERROR(__xludf.DUMMYFUNCTION("""COMPUTED_VALUE"""),94.89)</f>
        <v>94.89</v>
      </c>
      <c r="D1108" s="1">
        <f>IFERROR(__xludf.DUMMYFUNCTION("""COMPUTED_VALUE"""),93.0)</f>
        <v>93</v>
      </c>
      <c r="E1108" s="1">
        <f>IFERROR(__xludf.DUMMYFUNCTION("""COMPUTED_VALUE"""),93.17)</f>
        <v>93.17</v>
      </c>
      <c r="F1108" s="1">
        <f>IFERROR(__xludf.DUMMYFUNCTION("""COMPUTED_VALUE"""),77703.0)</f>
        <v>77703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IFERROR(__xludf.DUMMYFUNCTION("""COMPUTED_VALUE"""),93.76)</f>
        <v>93.76</v>
      </c>
      <c r="C1109" s="1">
        <f>IFERROR(__xludf.DUMMYFUNCTION("""COMPUTED_VALUE"""),94.51)</f>
        <v>94.51</v>
      </c>
      <c r="D1109" s="1">
        <f>IFERROR(__xludf.DUMMYFUNCTION("""COMPUTED_VALUE"""),93.44)</f>
        <v>93.44</v>
      </c>
      <c r="E1109" s="1">
        <f>IFERROR(__xludf.DUMMYFUNCTION("""COMPUTED_VALUE"""),94.39)</f>
        <v>94.39</v>
      </c>
      <c r="F1109" s="1">
        <f>IFERROR(__xludf.DUMMYFUNCTION("""COMPUTED_VALUE"""),34330.0)</f>
        <v>34330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IFERROR(__xludf.DUMMYFUNCTION("""COMPUTED_VALUE"""),94.73)</f>
        <v>94.73</v>
      </c>
      <c r="C1110" s="1">
        <f>IFERROR(__xludf.DUMMYFUNCTION("""COMPUTED_VALUE"""),94.73)</f>
        <v>94.73</v>
      </c>
      <c r="D1110" s="1">
        <f>IFERROR(__xludf.DUMMYFUNCTION("""COMPUTED_VALUE"""),92.85)</f>
        <v>92.85</v>
      </c>
      <c r="E1110" s="1">
        <f>IFERROR(__xludf.DUMMYFUNCTION("""COMPUTED_VALUE"""),93.67)</f>
        <v>93.67</v>
      </c>
      <c r="F1110" s="1">
        <f>IFERROR(__xludf.DUMMYFUNCTION("""COMPUTED_VALUE"""),80463.0)</f>
        <v>80463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IFERROR(__xludf.DUMMYFUNCTION("""COMPUTED_VALUE"""),92.73)</f>
        <v>92.73</v>
      </c>
      <c r="C1111" s="1">
        <f>IFERROR(__xludf.DUMMYFUNCTION("""COMPUTED_VALUE"""),93.27)</f>
        <v>93.27</v>
      </c>
      <c r="D1111" s="1">
        <f>IFERROR(__xludf.DUMMYFUNCTION("""COMPUTED_VALUE"""),91.91)</f>
        <v>91.91</v>
      </c>
      <c r="E1111" s="1">
        <f>IFERROR(__xludf.DUMMYFUNCTION("""COMPUTED_VALUE"""),92.8)</f>
        <v>92.8</v>
      </c>
      <c r="F1111" s="1">
        <f>IFERROR(__xludf.DUMMYFUNCTION("""COMPUTED_VALUE"""),89836.0)</f>
        <v>89836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IFERROR(__xludf.DUMMYFUNCTION("""COMPUTED_VALUE"""),92.57)</f>
        <v>92.57</v>
      </c>
      <c r="C1112" s="1">
        <f>IFERROR(__xludf.DUMMYFUNCTION("""COMPUTED_VALUE"""),94.07)</f>
        <v>94.07</v>
      </c>
      <c r="D1112" s="1">
        <f>IFERROR(__xludf.DUMMYFUNCTION("""COMPUTED_VALUE"""),91.4)</f>
        <v>91.4</v>
      </c>
      <c r="E1112" s="1">
        <f>IFERROR(__xludf.DUMMYFUNCTION("""COMPUTED_VALUE"""),93.69)</f>
        <v>93.69</v>
      </c>
      <c r="F1112" s="1">
        <f>IFERROR(__xludf.DUMMYFUNCTION("""COMPUTED_VALUE"""),273944.0)</f>
        <v>273944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IFERROR(__xludf.DUMMYFUNCTION("""COMPUTED_VALUE"""),93.41)</f>
        <v>93.41</v>
      </c>
      <c r="C1113" s="1">
        <f>IFERROR(__xludf.DUMMYFUNCTION("""COMPUTED_VALUE"""),93.8)</f>
        <v>93.8</v>
      </c>
      <c r="D1113" s="1">
        <f>IFERROR(__xludf.DUMMYFUNCTION("""COMPUTED_VALUE"""),92.64)</f>
        <v>92.64</v>
      </c>
      <c r="E1113" s="1">
        <f>IFERROR(__xludf.DUMMYFUNCTION("""COMPUTED_VALUE"""),93.56)</f>
        <v>93.56</v>
      </c>
      <c r="F1113" s="1">
        <f>IFERROR(__xludf.DUMMYFUNCTION("""COMPUTED_VALUE"""),54798.0)</f>
        <v>54798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IFERROR(__xludf.DUMMYFUNCTION("""COMPUTED_VALUE"""),93.68)</f>
        <v>93.68</v>
      </c>
      <c r="C1114" s="1">
        <f>IFERROR(__xludf.DUMMYFUNCTION("""COMPUTED_VALUE"""),94.15)</f>
        <v>94.15</v>
      </c>
      <c r="D1114" s="1">
        <f>IFERROR(__xludf.DUMMYFUNCTION("""COMPUTED_VALUE"""),92.57)</f>
        <v>92.57</v>
      </c>
      <c r="E1114" s="1">
        <f>IFERROR(__xludf.DUMMYFUNCTION("""COMPUTED_VALUE"""),94.11)</f>
        <v>94.11</v>
      </c>
      <c r="F1114" s="1">
        <f>IFERROR(__xludf.DUMMYFUNCTION("""COMPUTED_VALUE"""),70467.0)</f>
        <v>70467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IFERROR(__xludf.DUMMYFUNCTION("""COMPUTED_VALUE"""),94.7)</f>
        <v>94.7</v>
      </c>
      <c r="C1115" s="1">
        <f>IFERROR(__xludf.DUMMYFUNCTION("""COMPUTED_VALUE"""),94.7)</f>
        <v>94.7</v>
      </c>
      <c r="D1115" s="1">
        <f>IFERROR(__xludf.DUMMYFUNCTION("""COMPUTED_VALUE"""),93.56)</f>
        <v>93.56</v>
      </c>
      <c r="E1115" s="1">
        <f>IFERROR(__xludf.DUMMYFUNCTION("""COMPUTED_VALUE"""),94.14)</f>
        <v>94.14</v>
      </c>
      <c r="F1115" s="1">
        <f>IFERROR(__xludf.DUMMYFUNCTION("""COMPUTED_VALUE"""),40744.0)</f>
        <v>40744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IFERROR(__xludf.DUMMYFUNCTION("""COMPUTED_VALUE"""),94.08)</f>
        <v>94.08</v>
      </c>
      <c r="C1116" s="1">
        <f>IFERROR(__xludf.DUMMYFUNCTION("""COMPUTED_VALUE"""),94.14)</f>
        <v>94.14</v>
      </c>
      <c r="D1116" s="1">
        <f>IFERROR(__xludf.DUMMYFUNCTION("""COMPUTED_VALUE"""),93.43)</f>
        <v>93.43</v>
      </c>
      <c r="E1116" s="1">
        <f>IFERROR(__xludf.DUMMYFUNCTION("""COMPUTED_VALUE"""),94.07)</f>
        <v>94.07</v>
      </c>
      <c r="F1116" s="1">
        <f>IFERROR(__xludf.DUMMYFUNCTION("""COMPUTED_VALUE"""),41336.0)</f>
        <v>41336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IFERROR(__xludf.DUMMYFUNCTION("""COMPUTED_VALUE"""),93.43)</f>
        <v>93.43</v>
      </c>
      <c r="C1117" s="1">
        <f>IFERROR(__xludf.DUMMYFUNCTION("""COMPUTED_VALUE"""),93.87)</f>
        <v>93.87</v>
      </c>
      <c r="D1117" s="1">
        <f>IFERROR(__xludf.DUMMYFUNCTION("""COMPUTED_VALUE"""),92.93)</f>
        <v>92.93</v>
      </c>
      <c r="E1117" s="1">
        <f>IFERROR(__xludf.DUMMYFUNCTION("""COMPUTED_VALUE"""),93.3)</f>
        <v>93.3</v>
      </c>
      <c r="F1117" s="1">
        <f>IFERROR(__xludf.DUMMYFUNCTION("""COMPUTED_VALUE"""),27287.0)</f>
        <v>27287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IFERROR(__xludf.DUMMYFUNCTION("""COMPUTED_VALUE"""),92.51)</f>
        <v>92.51</v>
      </c>
      <c r="C1118" s="1">
        <f>IFERROR(__xludf.DUMMYFUNCTION("""COMPUTED_VALUE"""),92.95)</f>
        <v>92.95</v>
      </c>
      <c r="D1118" s="1">
        <f>IFERROR(__xludf.DUMMYFUNCTION("""COMPUTED_VALUE"""),91.72)</f>
        <v>91.72</v>
      </c>
      <c r="E1118" s="1">
        <f>IFERROR(__xludf.DUMMYFUNCTION("""COMPUTED_VALUE"""),92.31)</f>
        <v>92.31</v>
      </c>
      <c r="F1118" s="1">
        <f>IFERROR(__xludf.DUMMYFUNCTION("""COMPUTED_VALUE"""),40135.0)</f>
        <v>40135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IFERROR(__xludf.DUMMYFUNCTION("""COMPUTED_VALUE"""),92.09)</f>
        <v>92.09</v>
      </c>
      <c r="C1119" s="1">
        <f>IFERROR(__xludf.DUMMYFUNCTION("""COMPUTED_VALUE"""),92.26)</f>
        <v>92.26</v>
      </c>
      <c r="D1119" s="1">
        <f>IFERROR(__xludf.DUMMYFUNCTION("""COMPUTED_VALUE"""),91.44)</f>
        <v>91.44</v>
      </c>
      <c r="E1119" s="1">
        <f>IFERROR(__xludf.DUMMYFUNCTION("""COMPUTED_VALUE"""),91.93)</f>
        <v>91.93</v>
      </c>
      <c r="F1119" s="1">
        <f>IFERROR(__xludf.DUMMYFUNCTION("""COMPUTED_VALUE"""),38895.0)</f>
        <v>38895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IFERROR(__xludf.DUMMYFUNCTION("""COMPUTED_VALUE"""),91.9)</f>
        <v>91.9</v>
      </c>
      <c r="C1120" s="1">
        <f>IFERROR(__xludf.DUMMYFUNCTION("""COMPUTED_VALUE"""),93.0)</f>
        <v>93</v>
      </c>
      <c r="D1120" s="1">
        <f>IFERROR(__xludf.DUMMYFUNCTION("""COMPUTED_VALUE"""),91.23)</f>
        <v>91.23</v>
      </c>
      <c r="E1120" s="1">
        <f>IFERROR(__xludf.DUMMYFUNCTION("""COMPUTED_VALUE"""),92.21)</f>
        <v>92.21</v>
      </c>
      <c r="F1120" s="1">
        <f>IFERROR(__xludf.DUMMYFUNCTION("""COMPUTED_VALUE"""),64702.0)</f>
        <v>64702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IFERROR(__xludf.DUMMYFUNCTION("""COMPUTED_VALUE"""),92.36)</f>
        <v>92.36</v>
      </c>
      <c r="C1121" s="1">
        <f>IFERROR(__xludf.DUMMYFUNCTION("""COMPUTED_VALUE"""),92.85)</f>
        <v>92.85</v>
      </c>
      <c r="D1121" s="1">
        <f>IFERROR(__xludf.DUMMYFUNCTION("""COMPUTED_VALUE"""),91.67)</f>
        <v>91.67</v>
      </c>
      <c r="E1121" s="1">
        <f>IFERROR(__xludf.DUMMYFUNCTION("""COMPUTED_VALUE"""),92.54)</f>
        <v>92.54</v>
      </c>
      <c r="F1121" s="1">
        <f>IFERROR(__xludf.DUMMYFUNCTION("""COMPUTED_VALUE"""),37390.0)</f>
        <v>37390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IFERROR(__xludf.DUMMYFUNCTION("""COMPUTED_VALUE"""),92.79)</f>
        <v>92.79</v>
      </c>
      <c r="C1122" s="1">
        <f>IFERROR(__xludf.DUMMYFUNCTION("""COMPUTED_VALUE"""),93.49)</f>
        <v>93.49</v>
      </c>
      <c r="D1122" s="1">
        <f>IFERROR(__xludf.DUMMYFUNCTION("""COMPUTED_VALUE"""),91.96)</f>
        <v>91.96</v>
      </c>
      <c r="E1122" s="1">
        <f>IFERROR(__xludf.DUMMYFUNCTION("""COMPUTED_VALUE"""),93.14)</f>
        <v>93.14</v>
      </c>
      <c r="F1122" s="1">
        <f>IFERROR(__xludf.DUMMYFUNCTION("""COMPUTED_VALUE"""),62968.0)</f>
        <v>62968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IFERROR(__xludf.DUMMYFUNCTION("""COMPUTED_VALUE"""),93.51)</f>
        <v>93.51</v>
      </c>
      <c r="C1123" s="1">
        <f>IFERROR(__xludf.DUMMYFUNCTION("""COMPUTED_VALUE"""),93.79)</f>
        <v>93.79</v>
      </c>
      <c r="D1123" s="1">
        <f>IFERROR(__xludf.DUMMYFUNCTION("""COMPUTED_VALUE"""),92.41)</f>
        <v>92.41</v>
      </c>
      <c r="E1123" s="1">
        <f>IFERROR(__xludf.DUMMYFUNCTION("""COMPUTED_VALUE"""),93.31)</f>
        <v>93.31</v>
      </c>
      <c r="F1123" s="1">
        <f>IFERROR(__xludf.DUMMYFUNCTION("""COMPUTED_VALUE"""),35089.0)</f>
        <v>35089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IFERROR(__xludf.DUMMYFUNCTION("""COMPUTED_VALUE"""),93.74)</f>
        <v>93.74</v>
      </c>
      <c r="C1124" s="1">
        <f>IFERROR(__xludf.DUMMYFUNCTION("""COMPUTED_VALUE"""),94.02)</f>
        <v>94.02</v>
      </c>
      <c r="D1124" s="1">
        <f>IFERROR(__xludf.DUMMYFUNCTION("""COMPUTED_VALUE"""),93.04)</f>
        <v>93.04</v>
      </c>
      <c r="E1124" s="1">
        <f>IFERROR(__xludf.DUMMYFUNCTION("""COMPUTED_VALUE"""),93.53)</f>
        <v>93.53</v>
      </c>
      <c r="F1124" s="1">
        <f>IFERROR(__xludf.DUMMYFUNCTION("""COMPUTED_VALUE"""),23880.0)</f>
        <v>23880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IFERROR(__xludf.DUMMYFUNCTION("""COMPUTED_VALUE"""),93.87)</f>
        <v>93.87</v>
      </c>
      <c r="C1125" s="1">
        <f>IFERROR(__xludf.DUMMYFUNCTION("""COMPUTED_VALUE"""),94.88)</f>
        <v>94.88</v>
      </c>
      <c r="D1125" s="1">
        <f>IFERROR(__xludf.DUMMYFUNCTION("""COMPUTED_VALUE"""),93.86)</f>
        <v>93.86</v>
      </c>
      <c r="E1125" s="1">
        <f>IFERROR(__xludf.DUMMYFUNCTION("""COMPUTED_VALUE"""),93.91)</f>
        <v>93.91</v>
      </c>
      <c r="F1125" s="1">
        <f>IFERROR(__xludf.DUMMYFUNCTION("""COMPUTED_VALUE"""),101047.0)</f>
        <v>101047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IFERROR(__xludf.DUMMYFUNCTION("""COMPUTED_VALUE"""),94.36)</f>
        <v>94.36</v>
      </c>
      <c r="C1126" s="1">
        <f>IFERROR(__xludf.DUMMYFUNCTION("""COMPUTED_VALUE"""),94.44)</f>
        <v>94.44</v>
      </c>
      <c r="D1126" s="1">
        <f>IFERROR(__xludf.DUMMYFUNCTION("""COMPUTED_VALUE"""),92.84)</f>
        <v>92.84</v>
      </c>
      <c r="E1126" s="1">
        <f>IFERROR(__xludf.DUMMYFUNCTION("""COMPUTED_VALUE"""),93.01)</f>
        <v>93.01</v>
      </c>
      <c r="F1126" s="1">
        <f>IFERROR(__xludf.DUMMYFUNCTION("""COMPUTED_VALUE"""),34094.0)</f>
        <v>34094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IFERROR(__xludf.DUMMYFUNCTION("""COMPUTED_VALUE"""),92.57)</f>
        <v>92.57</v>
      </c>
      <c r="C1127" s="1">
        <f>IFERROR(__xludf.DUMMYFUNCTION("""COMPUTED_VALUE"""),93.69)</f>
        <v>93.69</v>
      </c>
      <c r="D1127" s="1">
        <f>IFERROR(__xludf.DUMMYFUNCTION("""COMPUTED_VALUE"""),92.32)</f>
        <v>92.32</v>
      </c>
      <c r="E1127" s="1">
        <f>IFERROR(__xludf.DUMMYFUNCTION("""COMPUTED_VALUE"""),92.65)</f>
        <v>92.65</v>
      </c>
      <c r="F1127" s="1">
        <f>IFERROR(__xludf.DUMMYFUNCTION("""COMPUTED_VALUE"""),52925.0)</f>
        <v>52925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IFERROR(__xludf.DUMMYFUNCTION("""COMPUTED_VALUE"""),92.12)</f>
        <v>92.12</v>
      </c>
      <c r="C1128" s="1">
        <f>IFERROR(__xludf.DUMMYFUNCTION("""COMPUTED_VALUE"""),93.6)</f>
        <v>93.6</v>
      </c>
      <c r="D1128" s="1">
        <f>IFERROR(__xludf.DUMMYFUNCTION("""COMPUTED_VALUE"""),92.0)</f>
        <v>92</v>
      </c>
      <c r="E1128" s="1">
        <f>IFERROR(__xludf.DUMMYFUNCTION("""COMPUTED_VALUE"""),93.28)</f>
        <v>93.28</v>
      </c>
      <c r="F1128" s="1">
        <f>IFERROR(__xludf.DUMMYFUNCTION("""COMPUTED_VALUE"""),25724.0)</f>
        <v>25724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IFERROR(__xludf.DUMMYFUNCTION("""COMPUTED_VALUE"""),93.3)</f>
        <v>93.3</v>
      </c>
      <c r="C1129" s="1">
        <f>IFERROR(__xludf.DUMMYFUNCTION("""COMPUTED_VALUE"""),93.56)</f>
        <v>93.56</v>
      </c>
      <c r="D1129" s="1">
        <f>IFERROR(__xludf.DUMMYFUNCTION("""COMPUTED_VALUE"""),92.34)</f>
        <v>92.34</v>
      </c>
      <c r="E1129" s="1">
        <f>IFERROR(__xludf.DUMMYFUNCTION("""COMPUTED_VALUE"""),92.85)</f>
        <v>92.85</v>
      </c>
      <c r="F1129" s="1">
        <f>IFERROR(__xludf.DUMMYFUNCTION("""COMPUTED_VALUE"""),33544.0)</f>
        <v>33544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IFERROR(__xludf.DUMMYFUNCTION("""COMPUTED_VALUE"""),92.18)</f>
        <v>92.18</v>
      </c>
      <c r="C1130" s="1">
        <f>IFERROR(__xludf.DUMMYFUNCTION("""COMPUTED_VALUE"""),94.4)</f>
        <v>94.4</v>
      </c>
      <c r="D1130" s="1">
        <f>IFERROR(__xludf.DUMMYFUNCTION("""COMPUTED_VALUE"""),92.18)</f>
        <v>92.18</v>
      </c>
      <c r="E1130" s="1">
        <f>IFERROR(__xludf.DUMMYFUNCTION("""COMPUTED_VALUE"""),93.97)</f>
        <v>93.97</v>
      </c>
      <c r="F1130" s="1">
        <f>IFERROR(__xludf.DUMMYFUNCTION("""COMPUTED_VALUE"""),106746.0)</f>
        <v>106746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IFERROR(__xludf.DUMMYFUNCTION("""COMPUTED_VALUE"""),93.73)</f>
        <v>93.73</v>
      </c>
      <c r="C1131" s="1">
        <f>IFERROR(__xludf.DUMMYFUNCTION("""COMPUTED_VALUE"""),95.01)</f>
        <v>95.01</v>
      </c>
      <c r="D1131" s="1">
        <f>IFERROR(__xludf.DUMMYFUNCTION("""COMPUTED_VALUE"""),93.34)</f>
        <v>93.34</v>
      </c>
      <c r="E1131" s="1">
        <f>IFERROR(__xludf.DUMMYFUNCTION("""COMPUTED_VALUE"""),94.12)</f>
        <v>94.12</v>
      </c>
      <c r="F1131" s="1">
        <f>IFERROR(__xludf.DUMMYFUNCTION("""COMPUTED_VALUE"""),100626.0)</f>
        <v>100626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IFERROR(__xludf.DUMMYFUNCTION("""COMPUTED_VALUE"""),94.08)</f>
        <v>94.08</v>
      </c>
      <c r="C1132" s="1">
        <f>IFERROR(__xludf.DUMMYFUNCTION("""COMPUTED_VALUE"""),95.71)</f>
        <v>95.71</v>
      </c>
      <c r="D1132" s="1">
        <f>IFERROR(__xludf.DUMMYFUNCTION("""COMPUTED_VALUE"""),93.96)</f>
        <v>93.96</v>
      </c>
      <c r="E1132" s="1">
        <f>IFERROR(__xludf.DUMMYFUNCTION("""COMPUTED_VALUE"""),95.03)</f>
        <v>95.03</v>
      </c>
      <c r="F1132" s="1">
        <f>IFERROR(__xludf.DUMMYFUNCTION("""COMPUTED_VALUE"""),76584.0)</f>
        <v>76584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IFERROR(__xludf.DUMMYFUNCTION("""COMPUTED_VALUE"""),94.88)</f>
        <v>94.88</v>
      </c>
      <c r="C1133" s="1">
        <f>IFERROR(__xludf.DUMMYFUNCTION("""COMPUTED_VALUE"""),95.34)</f>
        <v>95.34</v>
      </c>
      <c r="D1133" s="1">
        <f>IFERROR(__xludf.DUMMYFUNCTION("""COMPUTED_VALUE"""),94.39)</f>
        <v>94.39</v>
      </c>
      <c r="E1133" s="1">
        <f>IFERROR(__xludf.DUMMYFUNCTION("""COMPUTED_VALUE"""),94.61)</f>
        <v>94.61</v>
      </c>
      <c r="F1133" s="1">
        <f>IFERROR(__xludf.DUMMYFUNCTION("""COMPUTED_VALUE"""),42015.0)</f>
        <v>42015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IFERROR(__xludf.DUMMYFUNCTION("""COMPUTED_VALUE"""),94.97)</f>
        <v>94.97</v>
      </c>
      <c r="C1134" s="1">
        <f>IFERROR(__xludf.DUMMYFUNCTION("""COMPUTED_VALUE"""),95.1)</f>
        <v>95.1</v>
      </c>
      <c r="D1134" s="1">
        <f>IFERROR(__xludf.DUMMYFUNCTION("""COMPUTED_VALUE"""),94.63)</f>
        <v>94.63</v>
      </c>
      <c r="E1134" s="1">
        <f>IFERROR(__xludf.DUMMYFUNCTION("""COMPUTED_VALUE"""),94.98)</f>
        <v>94.98</v>
      </c>
      <c r="F1134" s="1">
        <f>IFERROR(__xludf.DUMMYFUNCTION("""COMPUTED_VALUE"""),23662.0)</f>
        <v>23662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IFERROR(__xludf.DUMMYFUNCTION("""COMPUTED_VALUE"""),94.51)</f>
        <v>94.51</v>
      </c>
      <c r="C1135" s="1">
        <f>IFERROR(__xludf.DUMMYFUNCTION("""COMPUTED_VALUE"""),94.85)</f>
        <v>94.85</v>
      </c>
      <c r="D1135" s="1">
        <f>IFERROR(__xludf.DUMMYFUNCTION("""COMPUTED_VALUE"""),94.05)</f>
        <v>94.05</v>
      </c>
      <c r="E1135" s="1">
        <f>IFERROR(__xludf.DUMMYFUNCTION("""COMPUTED_VALUE"""),94.46)</f>
        <v>94.46</v>
      </c>
      <c r="F1135" s="1">
        <f>IFERROR(__xludf.DUMMYFUNCTION("""COMPUTED_VALUE"""),38323.0)</f>
        <v>38323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IFERROR(__xludf.DUMMYFUNCTION("""COMPUTED_VALUE"""),94.55)</f>
        <v>94.55</v>
      </c>
      <c r="C1136" s="1">
        <f>IFERROR(__xludf.DUMMYFUNCTION("""COMPUTED_VALUE"""),94.72)</f>
        <v>94.72</v>
      </c>
      <c r="D1136" s="1">
        <f>IFERROR(__xludf.DUMMYFUNCTION("""COMPUTED_VALUE"""),93.75)</f>
        <v>93.75</v>
      </c>
      <c r="E1136" s="1">
        <f>IFERROR(__xludf.DUMMYFUNCTION("""COMPUTED_VALUE"""),94.12)</f>
        <v>94.12</v>
      </c>
      <c r="F1136" s="1">
        <f>IFERROR(__xludf.DUMMYFUNCTION("""COMPUTED_VALUE"""),61144.0)</f>
        <v>61144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IFERROR(__xludf.DUMMYFUNCTION("""COMPUTED_VALUE"""),94.34)</f>
        <v>94.34</v>
      </c>
      <c r="C1137" s="1">
        <f>IFERROR(__xludf.DUMMYFUNCTION("""COMPUTED_VALUE"""),94.69)</f>
        <v>94.69</v>
      </c>
      <c r="D1137" s="1">
        <f>IFERROR(__xludf.DUMMYFUNCTION("""COMPUTED_VALUE"""),93.96)</f>
        <v>93.96</v>
      </c>
      <c r="E1137" s="1">
        <f>IFERROR(__xludf.DUMMYFUNCTION("""COMPUTED_VALUE"""),94.22)</f>
        <v>94.22</v>
      </c>
      <c r="F1137" s="1">
        <f>IFERROR(__xludf.DUMMYFUNCTION("""COMPUTED_VALUE"""),30906.0)</f>
        <v>30906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IFERROR(__xludf.DUMMYFUNCTION("""COMPUTED_VALUE"""),93.04)</f>
        <v>93.04</v>
      </c>
      <c r="C1138" s="1">
        <f>IFERROR(__xludf.DUMMYFUNCTION("""COMPUTED_VALUE"""),94.58)</f>
        <v>94.58</v>
      </c>
      <c r="D1138" s="1">
        <f>IFERROR(__xludf.DUMMYFUNCTION("""COMPUTED_VALUE"""),93.04)</f>
        <v>93.04</v>
      </c>
      <c r="E1138" s="1">
        <f>IFERROR(__xludf.DUMMYFUNCTION("""COMPUTED_VALUE"""),94.1)</f>
        <v>94.1</v>
      </c>
      <c r="F1138" s="1">
        <f>IFERROR(__xludf.DUMMYFUNCTION("""COMPUTED_VALUE"""),42821.0)</f>
        <v>42821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IFERROR(__xludf.DUMMYFUNCTION("""COMPUTED_VALUE"""),93.6)</f>
        <v>93.6</v>
      </c>
      <c r="C1139" s="1">
        <f>IFERROR(__xludf.DUMMYFUNCTION("""COMPUTED_VALUE"""),94.68)</f>
        <v>94.68</v>
      </c>
      <c r="D1139" s="1">
        <f>IFERROR(__xludf.DUMMYFUNCTION("""COMPUTED_VALUE"""),93.09)</f>
        <v>93.09</v>
      </c>
      <c r="E1139" s="1">
        <f>IFERROR(__xludf.DUMMYFUNCTION("""COMPUTED_VALUE"""),94.35)</f>
        <v>94.35</v>
      </c>
      <c r="F1139" s="1">
        <f>IFERROR(__xludf.DUMMYFUNCTION("""COMPUTED_VALUE"""),37517.0)</f>
        <v>37517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IFERROR(__xludf.DUMMYFUNCTION("""COMPUTED_VALUE"""),94.8)</f>
        <v>94.8</v>
      </c>
      <c r="C1140" s="1">
        <f>IFERROR(__xludf.DUMMYFUNCTION("""COMPUTED_VALUE"""),94.8)</f>
        <v>94.8</v>
      </c>
      <c r="D1140" s="1">
        <f>IFERROR(__xludf.DUMMYFUNCTION("""COMPUTED_VALUE"""),93.8)</f>
        <v>93.8</v>
      </c>
      <c r="E1140" s="1">
        <f>IFERROR(__xludf.DUMMYFUNCTION("""COMPUTED_VALUE"""),94.3)</f>
        <v>94.3</v>
      </c>
      <c r="F1140" s="1">
        <f>IFERROR(__xludf.DUMMYFUNCTION("""COMPUTED_VALUE"""),37467.0)</f>
        <v>37467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IFERROR(__xludf.DUMMYFUNCTION("""COMPUTED_VALUE"""),94.24)</f>
        <v>94.24</v>
      </c>
      <c r="C1141" s="1">
        <f>IFERROR(__xludf.DUMMYFUNCTION("""COMPUTED_VALUE"""),94.24)</f>
        <v>94.24</v>
      </c>
      <c r="D1141" s="1">
        <f>IFERROR(__xludf.DUMMYFUNCTION("""COMPUTED_VALUE"""),92.9)</f>
        <v>92.9</v>
      </c>
      <c r="E1141" s="1">
        <f>IFERROR(__xludf.DUMMYFUNCTION("""COMPUTED_VALUE"""),92.91)</f>
        <v>92.91</v>
      </c>
      <c r="F1141" s="1">
        <f>IFERROR(__xludf.DUMMYFUNCTION("""COMPUTED_VALUE"""),29540.0)</f>
        <v>29540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IFERROR(__xludf.DUMMYFUNCTION("""COMPUTED_VALUE"""),93.51)</f>
        <v>93.51</v>
      </c>
      <c r="C1142" s="1">
        <f>IFERROR(__xludf.DUMMYFUNCTION("""COMPUTED_VALUE"""),93.51)</f>
        <v>93.51</v>
      </c>
      <c r="D1142" s="1">
        <f>IFERROR(__xludf.DUMMYFUNCTION("""COMPUTED_VALUE"""),91.92)</f>
        <v>91.92</v>
      </c>
      <c r="E1142" s="1">
        <f>IFERROR(__xludf.DUMMYFUNCTION("""COMPUTED_VALUE"""),92.51)</f>
        <v>92.51</v>
      </c>
      <c r="F1142" s="1">
        <f>IFERROR(__xludf.DUMMYFUNCTION("""COMPUTED_VALUE"""),36842.0)</f>
        <v>36842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IFERROR(__xludf.DUMMYFUNCTION("""COMPUTED_VALUE"""),92.1)</f>
        <v>92.1</v>
      </c>
      <c r="C1143" s="1">
        <f>IFERROR(__xludf.DUMMYFUNCTION("""COMPUTED_VALUE"""),92.75)</f>
        <v>92.75</v>
      </c>
      <c r="D1143" s="1">
        <f>IFERROR(__xludf.DUMMYFUNCTION("""COMPUTED_VALUE"""),91.37)</f>
        <v>91.37</v>
      </c>
      <c r="E1143" s="1">
        <f>IFERROR(__xludf.DUMMYFUNCTION("""COMPUTED_VALUE"""),91.69)</f>
        <v>91.69</v>
      </c>
      <c r="F1143" s="1">
        <f>IFERROR(__xludf.DUMMYFUNCTION("""COMPUTED_VALUE"""),47164.0)</f>
        <v>47164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IFERROR(__xludf.DUMMYFUNCTION("""COMPUTED_VALUE"""),91.27)</f>
        <v>91.27</v>
      </c>
      <c r="C1144" s="1">
        <f>IFERROR(__xludf.DUMMYFUNCTION("""COMPUTED_VALUE"""),93.51)</f>
        <v>93.51</v>
      </c>
      <c r="D1144" s="1">
        <f>IFERROR(__xludf.DUMMYFUNCTION("""COMPUTED_VALUE"""),91.27)</f>
        <v>91.27</v>
      </c>
      <c r="E1144" s="1">
        <f>IFERROR(__xludf.DUMMYFUNCTION("""COMPUTED_VALUE"""),93.2)</f>
        <v>93.2</v>
      </c>
      <c r="F1144" s="1">
        <f>IFERROR(__xludf.DUMMYFUNCTION("""COMPUTED_VALUE"""),37992.0)</f>
        <v>37992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IFERROR(__xludf.DUMMYFUNCTION("""COMPUTED_VALUE"""),92.53)</f>
        <v>92.53</v>
      </c>
      <c r="C1145" s="1">
        <f>IFERROR(__xludf.DUMMYFUNCTION("""COMPUTED_VALUE"""),92.53)</f>
        <v>92.53</v>
      </c>
      <c r="D1145" s="1">
        <f>IFERROR(__xludf.DUMMYFUNCTION("""COMPUTED_VALUE"""),91.53)</f>
        <v>91.53</v>
      </c>
      <c r="E1145" s="1">
        <f>IFERROR(__xludf.DUMMYFUNCTION("""COMPUTED_VALUE"""),92.03)</f>
        <v>92.03</v>
      </c>
      <c r="F1145" s="1">
        <f>IFERROR(__xludf.DUMMYFUNCTION("""COMPUTED_VALUE"""),25301.0)</f>
        <v>25301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IFERROR(__xludf.DUMMYFUNCTION("""COMPUTED_VALUE"""),92.17)</f>
        <v>92.17</v>
      </c>
      <c r="C1146" s="1">
        <f>IFERROR(__xludf.DUMMYFUNCTION("""COMPUTED_VALUE"""),93.13)</f>
        <v>93.13</v>
      </c>
      <c r="D1146" s="1">
        <f>IFERROR(__xludf.DUMMYFUNCTION("""COMPUTED_VALUE"""),91.6)</f>
        <v>91.6</v>
      </c>
      <c r="E1146" s="1">
        <f>IFERROR(__xludf.DUMMYFUNCTION("""COMPUTED_VALUE"""),92.06)</f>
        <v>92.06</v>
      </c>
      <c r="F1146" s="1">
        <f>IFERROR(__xludf.DUMMYFUNCTION("""COMPUTED_VALUE"""),32733.0)</f>
        <v>32733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IFERROR(__xludf.DUMMYFUNCTION("""COMPUTED_VALUE"""),92.5)</f>
        <v>92.5</v>
      </c>
      <c r="C1147" s="1">
        <f>IFERROR(__xludf.DUMMYFUNCTION("""COMPUTED_VALUE"""),92.54)</f>
        <v>92.54</v>
      </c>
      <c r="D1147" s="1">
        <f>IFERROR(__xludf.DUMMYFUNCTION("""COMPUTED_VALUE"""),91.75)</f>
        <v>91.75</v>
      </c>
      <c r="E1147" s="1">
        <f>IFERROR(__xludf.DUMMYFUNCTION("""COMPUTED_VALUE"""),91.99)</f>
        <v>91.99</v>
      </c>
      <c r="F1147" s="1">
        <f>IFERROR(__xludf.DUMMYFUNCTION("""COMPUTED_VALUE"""),22213.0)</f>
        <v>22213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IFERROR(__xludf.DUMMYFUNCTION("""COMPUTED_VALUE"""),92.39)</f>
        <v>92.39</v>
      </c>
      <c r="C1148" s="1">
        <f>IFERROR(__xludf.DUMMYFUNCTION("""COMPUTED_VALUE"""),92.59)</f>
        <v>92.59</v>
      </c>
      <c r="D1148" s="1">
        <f>IFERROR(__xludf.DUMMYFUNCTION("""COMPUTED_VALUE"""),91.42)</f>
        <v>91.42</v>
      </c>
      <c r="E1148" s="1">
        <f>IFERROR(__xludf.DUMMYFUNCTION("""COMPUTED_VALUE"""),92.22)</f>
        <v>92.22</v>
      </c>
      <c r="F1148" s="1">
        <f>IFERROR(__xludf.DUMMYFUNCTION("""COMPUTED_VALUE"""),35225.0)</f>
        <v>35225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IFERROR(__xludf.DUMMYFUNCTION("""COMPUTED_VALUE"""),91.52)</f>
        <v>91.52</v>
      </c>
      <c r="C1149" s="1">
        <f>IFERROR(__xludf.DUMMYFUNCTION("""COMPUTED_VALUE"""),91.85)</f>
        <v>91.85</v>
      </c>
      <c r="D1149" s="1">
        <f>IFERROR(__xludf.DUMMYFUNCTION("""COMPUTED_VALUE"""),90.48)</f>
        <v>90.48</v>
      </c>
      <c r="E1149" s="1">
        <f>IFERROR(__xludf.DUMMYFUNCTION("""COMPUTED_VALUE"""),90.76)</f>
        <v>90.76</v>
      </c>
      <c r="F1149" s="1">
        <f>IFERROR(__xludf.DUMMYFUNCTION("""COMPUTED_VALUE"""),33748.0)</f>
        <v>33748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IFERROR(__xludf.DUMMYFUNCTION("""COMPUTED_VALUE"""),90.54)</f>
        <v>90.54</v>
      </c>
      <c r="C1150" s="1">
        <f>IFERROR(__xludf.DUMMYFUNCTION("""COMPUTED_VALUE"""),90.87)</f>
        <v>90.87</v>
      </c>
      <c r="D1150" s="1">
        <f>IFERROR(__xludf.DUMMYFUNCTION("""COMPUTED_VALUE"""),89.72)</f>
        <v>89.72</v>
      </c>
      <c r="E1150" s="1">
        <f>IFERROR(__xludf.DUMMYFUNCTION("""COMPUTED_VALUE"""),90.51)</f>
        <v>90.51</v>
      </c>
      <c r="F1150" s="1">
        <f>IFERROR(__xludf.DUMMYFUNCTION("""COMPUTED_VALUE"""),35473.0)</f>
        <v>35473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IFERROR(__xludf.DUMMYFUNCTION("""COMPUTED_VALUE"""),95.5)</f>
        <v>95.5</v>
      </c>
      <c r="C1151" s="1">
        <f>IFERROR(__xludf.DUMMYFUNCTION("""COMPUTED_VALUE"""),95.5)</f>
        <v>95.5</v>
      </c>
      <c r="D1151" s="1">
        <f>IFERROR(__xludf.DUMMYFUNCTION("""COMPUTED_VALUE"""),92.5)</f>
        <v>92.5</v>
      </c>
      <c r="E1151" s="1">
        <f>IFERROR(__xludf.DUMMYFUNCTION("""COMPUTED_VALUE"""),93.07)</f>
        <v>93.07</v>
      </c>
      <c r="F1151" s="1">
        <f>IFERROR(__xludf.DUMMYFUNCTION("""COMPUTED_VALUE"""),104679.0)</f>
        <v>104679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IFERROR(__xludf.DUMMYFUNCTION("""COMPUTED_VALUE"""),93.77)</f>
        <v>93.77</v>
      </c>
      <c r="C1152" s="1">
        <f>IFERROR(__xludf.DUMMYFUNCTION("""COMPUTED_VALUE"""),93.77)</f>
        <v>93.77</v>
      </c>
      <c r="D1152" s="1">
        <f>IFERROR(__xludf.DUMMYFUNCTION("""COMPUTED_VALUE"""),91.51)</f>
        <v>91.51</v>
      </c>
      <c r="E1152" s="1">
        <f>IFERROR(__xludf.DUMMYFUNCTION("""COMPUTED_VALUE"""),92.05)</f>
        <v>92.05</v>
      </c>
      <c r="F1152" s="1">
        <f>IFERROR(__xludf.DUMMYFUNCTION("""COMPUTED_VALUE"""),52105.0)</f>
        <v>52105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IFERROR(__xludf.DUMMYFUNCTION("""COMPUTED_VALUE"""),91.28)</f>
        <v>91.28</v>
      </c>
      <c r="C1153" s="1">
        <f>IFERROR(__xludf.DUMMYFUNCTION("""COMPUTED_VALUE"""),92.07)</f>
        <v>92.07</v>
      </c>
      <c r="D1153" s="1">
        <f>IFERROR(__xludf.DUMMYFUNCTION("""COMPUTED_VALUE"""),89.97)</f>
        <v>89.97</v>
      </c>
      <c r="E1153" s="1">
        <f>IFERROR(__xludf.DUMMYFUNCTION("""COMPUTED_VALUE"""),90.09)</f>
        <v>90.09</v>
      </c>
      <c r="F1153" s="1">
        <f>IFERROR(__xludf.DUMMYFUNCTION("""COMPUTED_VALUE"""),63170.0)</f>
        <v>63170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IFERROR(__xludf.DUMMYFUNCTION("""COMPUTED_VALUE"""),89.03)</f>
        <v>89.03</v>
      </c>
      <c r="C1154" s="1">
        <f>IFERROR(__xludf.DUMMYFUNCTION("""COMPUTED_VALUE"""),90.18)</f>
        <v>90.18</v>
      </c>
      <c r="D1154" s="1">
        <f>IFERROR(__xludf.DUMMYFUNCTION("""COMPUTED_VALUE"""),88.95)</f>
        <v>88.95</v>
      </c>
      <c r="E1154" s="1">
        <f>IFERROR(__xludf.DUMMYFUNCTION("""COMPUTED_VALUE"""),89.6)</f>
        <v>89.6</v>
      </c>
      <c r="F1154" s="1">
        <f>IFERROR(__xludf.DUMMYFUNCTION("""COMPUTED_VALUE"""),76822.0)</f>
        <v>76822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IFERROR(__xludf.DUMMYFUNCTION("""COMPUTED_VALUE"""),90.13)</f>
        <v>90.13</v>
      </c>
      <c r="C1155" s="1">
        <f>IFERROR(__xludf.DUMMYFUNCTION("""COMPUTED_VALUE"""),91.29)</f>
        <v>91.29</v>
      </c>
      <c r="D1155" s="1">
        <f>IFERROR(__xludf.DUMMYFUNCTION("""COMPUTED_VALUE"""),89.48)</f>
        <v>89.48</v>
      </c>
      <c r="E1155" s="1">
        <f>IFERROR(__xludf.DUMMYFUNCTION("""COMPUTED_VALUE"""),91.02)</f>
        <v>91.02</v>
      </c>
      <c r="F1155" s="1">
        <f>IFERROR(__xludf.DUMMYFUNCTION("""COMPUTED_VALUE"""),48827.0)</f>
        <v>48827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IFERROR(__xludf.DUMMYFUNCTION("""COMPUTED_VALUE"""),90.55)</f>
        <v>90.55</v>
      </c>
      <c r="C1156" s="1">
        <f>IFERROR(__xludf.DUMMYFUNCTION("""COMPUTED_VALUE"""),92.33)</f>
        <v>92.33</v>
      </c>
      <c r="D1156" s="1">
        <f>IFERROR(__xludf.DUMMYFUNCTION("""COMPUTED_VALUE"""),90.3)</f>
        <v>90.3</v>
      </c>
      <c r="E1156" s="1">
        <f>IFERROR(__xludf.DUMMYFUNCTION("""COMPUTED_VALUE"""),91.69)</f>
        <v>91.69</v>
      </c>
      <c r="F1156" s="1">
        <f>IFERROR(__xludf.DUMMYFUNCTION("""COMPUTED_VALUE"""),45967.0)</f>
        <v>45967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IFERROR(__xludf.DUMMYFUNCTION("""COMPUTED_VALUE"""),91.14)</f>
        <v>91.14</v>
      </c>
      <c r="C1157" s="1">
        <f>IFERROR(__xludf.DUMMYFUNCTION("""COMPUTED_VALUE"""),92.58)</f>
        <v>92.58</v>
      </c>
      <c r="D1157" s="1">
        <f>IFERROR(__xludf.DUMMYFUNCTION("""COMPUTED_VALUE"""),91.07)</f>
        <v>91.07</v>
      </c>
      <c r="E1157" s="1">
        <f>IFERROR(__xludf.DUMMYFUNCTION("""COMPUTED_VALUE"""),92.2)</f>
        <v>92.2</v>
      </c>
      <c r="F1157" s="1">
        <f>IFERROR(__xludf.DUMMYFUNCTION("""COMPUTED_VALUE"""),49204.0)</f>
        <v>49204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IFERROR(__xludf.DUMMYFUNCTION("""COMPUTED_VALUE"""),92.44)</f>
        <v>92.44</v>
      </c>
      <c r="C1158" s="1">
        <f>IFERROR(__xludf.DUMMYFUNCTION("""COMPUTED_VALUE"""),93.4)</f>
        <v>93.4</v>
      </c>
      <c r="D1158" s="1">
        <f>IFERROR(__xludf.DUMMYFUNCTION("""COMPUTED_VALUE"""),92.1)</f>
        <v>92.1</v>
      </c>
      <c r="E1158" s="1">
        <f>IFERROR(__xludf.DUMMYFUNCTION("""COMPUTED_VALUE"""),92.96)</f>
        <v>92.96</v>
      </c>
      <c r="F1158" s="1">
        <f>IFERROR(__xludf.DUMMYFUNCTION("""COMPUTED_VALUE"""),51846.0)</f>
        <v>51846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IFERROR(__xludf.DUMMYFUNCTION("""COMPUTED_VALUE"""),92.79)</f>
        <v>92.79</v>
      </c>
      <c r="C1159" s="1">
        <f>IFERROR(__xludf.DUMMYFUNCTION("""COMPUTED_VALUE"""),94.64)</f>
        <v>94.64</v>
      </c>
      <c r="D1159" s="1">
        <f>IFERROR(__xludf.DUMMYFUNCTION("""COMPUTED_VALUE"""),92.45)</f>
        <v>92.45</v>
      </c>
      <c r="E1159" s="1">
        <f>IFERROR(__xludf.DUMMYFUNCTION("""COMPUTED_VALUE"""),94.13)</f>
        <v>94.13</v>
      </c>
      <c r="F1159" s="1">
        <f>IFERROR(__xludf.DUMMYFUNCTION("""COMPUTED_VALUE"""),68047.0)</f>
        <v>68047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IFERROR(__xludf.DUMMYFUNCTION("""COMPUTED_VALUE"""),94.83)</f>
        <v>94.83</v>
      </c>
      <c r="C1160" s="1">
        <f>IFERROR(__xludf.DUMMYFUNCTION("""COMPUTED_VALUE"""),95.96)</f>
        <v>95.96</v>
      </c>
      <c r="D1160" s="1">
        <f>IFERROR(__xludf.DUMMYFUNCTION("""COMPUTED_VALUE"""),94.19)</f>
        <v>94.19</v>
      </c>
      <c r="E1160" s="1">
        <f>IFERROR(__xludf.DUMMYFUNCTION("""COMPUTED_VALUE"""),95.56)</f>
        <v>95.56</v>
      </c>
      <c r="F1160" s="1">
        <f>IFERROR(__xludf.DUMMYFUNCTION("""COMPUTED_VALUE"""),63216.0)</f>
        <v>63216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IFERROR(__xludf.DUMMYFUNCTION("""COMPUTED_VALUE"""),95.06)</f>
        <v>95.06</v>
      </c>
      <c r="C1161" s="1">
        <f>IFERROR(__xludf.DUMMYFUNCTION("""COMPUTED_VALUE"""),95.7)</f>
        <v>95.7</v>
      </c>
      <c r="D1161" s="1">
        <f>IFERROR(__xludf.DUMMYFUNCTION("""COMPUTED_VALUE"""),94.42)</f>
        <v>94.42</v>
      </c>
      <c r="E1161" s="1">
        <f>IFERROR(__xludf.DUMMYFUNCTION("""COMPUTED_VALUE"""),94.91)</f>
        <v>94.91</v>
      </c>
      <c r="F1161" s="1">
        <f>IFERROR(__xludf.DUMMYFUNCTION("""COMPUTED_VALUE"""),64118.0)</f>
        <v>64118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IFERROR(__xludf.DUMMYFUNCTION("""COMPUTED_VALUE"""),94.9)</f>
        <v>94.9</v>
      </c>
      <c r="C1162" s="1">
        <f>IFERROR(__xludf.DUMMYFUNCTION("""COMPUTED_VALUE"""),95.6)</f>
        <v>95.6</v>
      </c>
      <c r="D1162" s="1">
        <f>IFERROR(__xludf.DUMMYFUNCTION("""COMPUTED_VALUE"""),93.33)</f>
        <v>93.33</v>
      </c>
      <c r="E1162" s="1">
        <f>IFERROR(__xludf.DUMMYFUNCTION("""COMPUTED_VALUE"""),95.5)</f>
        <v>95.5</v>
      </c>
      <c r="F1162" s="1">
        <f>IFERROR(__xludf.DUMMYFUNCTION("""COMPUTED_VALUE"""),31374.0)</f>
        <v>31374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IFERROR(__xludf.DUMMYFUNCTION("""COMPUTED_VALUE"""),95.25)</f>
        <v>95.25</v>
      </c>
      <c r="C1163" s="1">
        <f>IFERROR(__xludf.DUMMYFUNCTION("""COMPUTED_VALUE"""),95.79)</f>
        <v>95.79</v>
      </c>
      <c r="D1163" s="1">
        <f>IFERROR(__xludf.DUMMYFUNCTION("""COMPUTED_VALUE"""),94.7)</f>
        <v>94.7</v>
      </c>
      <c r="E1163" s="1">
        <f>IFERROR(__xludf.DUMMYFUNCTION("""COMPUTED_VALUE"""),95.43)</f>
        <v>95.43</v>
      </c>
      <c r="F1163" s="1">
        <f>IFERROR(__xludf.DUMMYFUNCTION("""COMPUTED_VALUE"""),32810.0)</f>
        <v>32810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IFERROR(__xludf.DUMMYFUNCTION("""COMPUTED_VALUE"""),96.44)</f>
        <v>96.44</v>
      </c>
      <c r="C1164" s="1">
        <f>IFERROR(__xludf.DUMMYFUNCTION("""COMPUTED_VALUE"""),96.47)</f>
        <v>96.47</v>
      </c>
      <c r="D1164" s="1">
        <f>IFERROR(__xludf.DUMMYFUNCTION("""COMPUTED_VALUE"""),94.24)</f>
        <v>94.24</v>
      </c>
      <c r="E1164" s="1">
        <f>IFERROR(__xludf.DUMMYFUNCTION("""COMPUTED_VALUE"""),95.24)</f>
        <v>95.24</v>
      </c>
      <c r="F1164" s="1">
        <f>IFERROR(__xludf.DUMMYFUNCTION("""COMPUTED_VALUE"""),70255.0)</f>
        <v>70255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IFERROR(__xludf.DUMMYFUNCTION("""COMPUTED_VALUE"""),95.88)</f>
        <v>95.88</v>
      </c>
      <c r="C1165" s="1">
        <f>IFERROR(__xludf.DUMMYFUNCTION("""COMPUTED_VALUE"""),96.0)</f>
        <v>96</v>
      </c>
      <c r="D1165" s="1">
        <f>IFERROR(__xludf.DUMMYFUNCTION("""COMPUTED_VALUE"""),95.16)</f>
        <v>95.16</v>
      </c>
      <c r="E1165" s="1">
        <f>IFERROR(__xludf.DUMMYFUNCTION("""COMPUTED_VALUE"""),95.55)</f>
        <v>95.55</v>
      </c>
      <c r="F1165" s="1">
        <f>IFERROR(__xludf.DUMMYFUNCTION("""COMPUTED_VALUE"""),38265.0)</f>
        <v>38265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IFERROR(__xludf.DUMMYFUNCTION("""COMPUTED_VALUE"""),95.43)</f>
        <v>95.43</v>
      </c>
      <c r="C1166" s="1">
        <f>IFERROR(__xludf.DUMMYFUNCTION("""COMPUTED_VALUE"""),96.15)</f>
        <v>96.15</v>
      </c>
      <c r="D1166" s="1">
        <f>IFERROR(__xludf.DUMMYFUNCTION("""COMPUTED_VALUE"""),94.6)</f>
        <v>94.6</v>
      </c>
      <c r="E1166" s="1">
        <f>IFERROR(__xludf.DUMMYFUNCTION("""COMPUTED_VALUE"""),95.24)</f>
        <v>95.24</v>
      </c>
      <c r="F1166" s="1">
        <f>IFERROR(__xludf.DUMMYFUNCTION("""COMPUTED_VALUE"""),35925.0)</f>
        <v>35925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IFERROR(__xludf.DUMMYFUNCTION("""COMPUTED_VALUE"""),94.93)</f>
        <v>94.93</v>
      </c>
      <c r="C1167" s="1">
        <f>IFERROR(__xludf.DUMMYFUNCTION("""COMPUTED_VALUE"""),95.57)</f>
        <v>95.57</v>
      </c>
      <c r="D1167" s="1">
        <f>IFERROR(__xludf.DUMMYFUNCTION("""COMPUTED_VALUE"""),94.4)</f>
        <v>94.4</v>
      </c>
      <c r="E1167" s="1">
        <f>IFERROR(__xludf.DUMMYFUNCTION("""COMPUTED_VALUE"""),95.11)</f>
        <v>95.11</v>
      </c>
      <c r="F1167" s="1">
        <f>IFERROR(__xludf.DUMMYFUNCTION("""COMPUTED_VALUE"""),36247.0)</f>
        <v>36247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IFERROR(__xludf.DUMMYFUNCTION("""COMPUTED_VALUE"""),95.0)</f>
        <v>95</v>
      </c>
      <c r="C1168" s="1">
        <f>IFERROR(__xludf.DUMMYFUNCTION("""COMPUTED_VALUE"""),95.39)</f>
        <v>95.39</v>
      </c>
      <c r="D1168" s="1">
        <f>IFERROR(__xludf.DUMMYFUNCTION("""COMPUTED_VALUE"""),94.37)</f>
        <v>94.37</v>
      </c>
      <c r="E1168" s="1">
        <f>IFERROR(__xludf.DUMMYFUNCTION("""COMPUTED_VALUE"""),95.1)</f>
        <v>95.1</v>
      </c>
      <c r="F1168" s="1">
        <f>IFERROR(__xludf.DUMMYFUNCTION("""COMPUTED_VALUE"""),37379.0)</f>
        <v>37379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IFERROR(__xludf.DUMMYFUNCTION("""COMPUTED_VALUE"""),94.9)</f>
        <v>94.9</v>
      </c>
      <c r="C1169" s="1">
        <f>IFERROR(__xludf.DUMMYFUNCTION("""COMPUTED_VALUE"""),95.46)</f>
        <v>95.46</v>
      </c>
      <c r="D1169" s="1">
        <f>IFERROR(__xludf.DUMMYFUNCTION("""COMPUTED_VALUE"""),94.53)</f>
        <v>94.53</v>
      </c>
      <c r="E1169" s="1">
        <f>IFERROR(__xludf.DUMMYFUNCTION("""COMPUTED_VALUE"""),94.69)</f>
        <v>94.69</v>
      </c>
      <c r="F1169" s="1">
        <f>IFERROR(__xludf.DUMMYFUNCTION("""COMPUTED_VALUE"""),24521.0)</f>
        <v>24521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IFERROR(__xludf.DUMMYFUNCTION("""COMPUTED_VALUE"""),94.95)</f>
        <v>94.95</v>
      </c>
      <c r="C1170" s="1">
        <f>IFERROR(__xludf.DUMMYFUNCTION("""COMPUTED_VALUE"""),95.44)</f>
        <v>95.44</v>
      </c>
      <c r="D1170" s="1">
        <f>IFERROR(__xludf.DUMMYFUNCTION("""COMPUTED_VALUE"""),93.78)</f>
        <v>93.78</v>
      </c>
      <c r="E1170" s="1">
        <f>IFERROR(__xludf.DUMMYFUNCTION("""COMPUTED_VALUE"""),94.96)</f>
        <v>94.96</v>
      </c>
      <c r="F1170" s="1">
        <f>IFERROR(__xludf.DUMMYFUNCTION("""COMPUTED_VALUE"""),30793.0)</f>
        <v>30793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IFERROR(__xludf.DUMMYFUNCTION("""COMPUTED_VALUE"""),95.14)</f>
        <v>95.14</v>
      </c>
      <c r="C1171" s="1">
        <f>IFERROR(__xludf.DUMMYFUNCTION("""COMPUTED_VALUE"""),95.51)</f>
        <v>95.51</v>
      </c>
      <c r="D1171" s="1">
        <f>IFERROR(__xludf.DUMMYFUNCTION("""COMPUTED_VALUE"""),94.63)</f>
        <v>94.63</v>
      </c>
      <c r="E1171" s="1">
        <f>IFERROR(__xludf.DUMMYFUNCTION("""COMPUTED_VALUE"""),94.86)</f>
        <v>94.86</v>
      </c>
      <c r="F1171" s="1">
        <f>IFERROR(__xludf.DUMMYFUNCTION("""COMPUTED_VALUE"""),40525.0)</f>
        <v>40525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IFERROR(__xludf.DUMMYFUNCTION("""COMPUTED_VALUE"""),95.17)</f>
        <v>95.17</v>
      </c>
      <c r="C1172" s="1">
        <f>IFERROR(__xludf.DUMMYFUNCTION("""COMPUTED_VALUE"""),95.49)</f>
        <v>95.49</v>
      </c>
      <c r="D1172" s="1">
        <f>IFERROR(__xludf.DUMMYFUNCTION("""COMPUTED_VALUE"""),94.44)</f>
        <v>94.44</v>
      </c>
      <c r="E1172" s="1">
        <f>IFERROR(__xludf.DUMMYFUNCTION("""COMPUTED_VALUE"""),94.73)</f>
        <v>94.73</v>
      </c>
      <c r="F1172" s="1">
        <f>IFERROR(__xludf.DUMMYFUNCTION("""COMPUTED_VALUE"""),24572.0)</f>
        <v>24572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IFERROR(__xludf.DUMMYFUNCTION("""COMPUTED_VALUE"""),94.59)</f>
        <v>94.59</v>
      </c>
      <c r="C1173" s="1">
        <f>IFERROR(__xludf.DUMMYFUNCTION("""COMPUTED_VALUE"""),95.24)</f>
        <v>95.24</v>
      </c>
      <c r="D1173" s="1">
        <f>IFERROR(__xludf.DUMMYFUNCTION("""COMPUTED_VALUE"""),94.36)</f>
        <v>94.36</v>
      </c>
      <c r="E1173" s="1">
        <f>IFERROR(__xludf.DUMMYFUNCTION("""COMPUTED_VALUE"""),94.82)</f>
        <v>94.82</v>
      </c>
      <c r="F1173" s="1">
        <f>IFERROR(__xludf.DUMMYFUNCTION("""COMPUTED_VALUE"""),20332.0)</f>
        <v>20332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IFERROR(__xludf.DUMMYFUNCTION("""COMPUTED_VALUE"""),94.88)</f>
        <v>94.88</v>
      </c>
      <c r="C1174" s="1">
        <f>IFERROR(__xludf.DUMMYFUNCTION("""COMPUTED_VALUE"""),95.34)</f>
        <v>95.34</v>
      </c>
      <c r="D1174" s="1">
        <f>IFERROR(__xludf.DUMMYFUNCTION("""COMPUTED_VALUE"""),94.45)</f>
        <v>94.45</v>
      </c>
      <c r="E1174" s="1">
        <f>IFERROR(__xludf.DUMMYFUNCTION("""COMPUTED_VALUE"""),94.71)</f>
        <v>94.71</v>
      </c>
      <c r="F1174" s="1">
        <f>IFERROR(__xludf.DUMMYFUNCTION("""COMPUTED_VALUE"""),31935.0)</f>
        <v>31935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IFERROR(__xludf.DUMMYFUNCTION("""COMPUTED_VALUE"""),95.98)</f>
        <v>95.98</v>
      </c>
      <c r="C1175" s="1">
        <f>IFERROR(__xludf.DUMMYFUNCTION("""COMPUTED_VALUE"""),96.75)</f>
        <v>96.75</v>
      </c>
      <c r="D1175" s="1">
        <f>IFERROR(__xludf.DUMMYFUNCTION("""COMPUTED_VALUE"""),95.27)</f>
        <v>95.27</v>
      </c>
      <c r="E1175" s="1">
        <f>IFERROR(__xludf.DUMMYFUNCTION("""COMPUTED_VALUE"""),96.29)</f>
        <v>96.29</v>
      </c>
      <c r="F1175" s="1">
        <f>IFERROR(__xludf.DUMMYFUNCTION("""COMPUTED_VALUE"""),120918.0)</f>
        <v>120918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IFERROR(__xludf.DUMMYFUNCTION("""COMPUTED_VALUE"""),96.33)</f>
        <v>96.33</v>
      </c>
      <c r="C1176" s="1">
        <f>IFERROR(__xludf.DUMMYFUNCTION("""COMPUTED_VALUE"""),96.81)</f>
        <v>96.81</v>
      </c>
      <c r="D1176" s="1">
        <f>IFERROR(__xludf.DUMMYFUNCTION("""COMPUTED_VALUE"""),95.48)</f>
        <v>95.48</v>
      </c>
      <c r="E1176" s="1">
        <f>IFERROR(__xludf.DUMMYFUNCTION("""COMPUTED_VALUE"""),96.0)</f>
        <v>96</v>
      </c>
      <c r="F1176" s="1">
        <f>IFERROR(__xludf.DUMMYFUNCTION("""COMPUTED_VALUE"""),309707.0)</f>
        <v>309707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IFERROR(__xludf.DUMMYFUNCTION("""COMPUTED_VALUE"""),95.97)</f>
        <v>95.97</v>
      </c>
      <c r="C1177" s="1">
        <f>IFERROR(__xludf.DUMMYFUNCTION("""COMPUTED_VALUE"""),96.46)</f>
        <v>96.46</v>
      </c>
      <c r="D1177" s="1">
        <f>IFERROR(__xludf.DUMMYFUNCTION("""COMPUTED_VALUE"""),95.79)</f>
        <v>95.79</v>
      </c>
      <c r="E1177" s="1">
        <f>IFERROR(__xludf.DUMMYFUNCTION("""COMPUTED_VALUE"""),96.09)</f>
        <v>96.09</v>
      </c>
      <c r="F1177" s="1">
        <f>IFERROR(__xludf.DUMMYFUNCTION("""COMPUTED_VALUE"""),32863.0)</f>
        <v>32863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IFERROR(__xludf.DUMMYFUNCTION("""COMPUTED_VALUE"""),95.68)</f>
        <v>95.68</v>
      </c>
      <c r="C1178" s="1">
        <f>IFERROR(__xludf.DUMMYFUNCTION("""COMPUTED_VALUE"""),96.03)</f>
        <v>96.03</v>
      </c>
      <c r="D1178" s="1">
        <f>IFERROR(__xludf.DUMMYFUNCTION("""COMPUTED_VALUE"""),95.56)</f>
        <v>95.56</v>
      </c>
      <c r="E1178" s="1">
        <f>IFERROR(__xludf.DUMMYFUNCTION("""COMPUTED_VALUE"""),95.8)</f>
        <v>95.8</v>
      </c>
      <c r="F1178" s="1">
        <f>IFERROR(__xludf.DUMMYFUNCTION("""COMPUTED_VALUE"""),22140.0)</f>
        <v>22140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IFERROR(__xludf.DUMMYFUNCTION("""COMPUTED_VALUE"""),95.6)</f>
        <v>95.6</v>
      </c>
      <c r="C1179" s="1">
        <f>IFERROR(__xludf.DUMMYFUNCTION("""COMPUTED_VALUE"""),96.44)</f>
        <v>96.44</v>
      </c>
      <c r="D1179" s="1">
        <f>IFERROR(__xludf.DUMMYFUNCTION("""COMPUTED_VALUE"""),95.41)</f>
        <v>95.41</v>
      </c>
      <c r="E1179" s="1">
        <f>IFERROR(__xludf.DUMMYFUNCTION("""COMPUTED_VALUE"""),96.14)</f>
        <v>96.14</v>
      </c>
      <c r="F1179" s="1">
        <f>IFERROR(__xludf.DUMMYFUNCTION("""COMPUTED_VALUE"""),31847.0)</f>
        <v>31847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IFERROR(__xludf.DUMMYFUNCTION("""COMPUTED_VALUE"""),96.01)</f>
        <v>96.01</v>
      </c>
      <c r="C1180" s="1">
        <f>IFERROR(__xludf.DUMMYFUNCTION("""COMPUTED_VALUE"""),96.22)</f>
        <v>96.22</v>
      </c>
      <c r="D1180" s="1">
        <f>IFERROR(__xludf.DUMMYFUNCTION("""COMPUTED_VALUE"""),95.59)</f>
        <v>95.59</v>
      </c>
      <c r="E1180" s="1">
        <f>IFERROR(__xludf.DUMMYFUNCTION("""COMPUTED_VALUE"""),95.82)</f>
        <v>95.82</v>
      </c>
      <c r="F1180" s="1">
        <f>IFERROR(__xludf.DUMMYFUNCTION("""COMPUTED_VALUE"""),40804.0)</f>
        <v>40804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IFERROR(__xludf.DUMMYFUNCTION("""COMPUTED_VALUE"""),95.88)</f>
        <v>95.88</v>
      </c>
      <c r="C1181" s="1">
        <f>IFERROR(__xludf.DUMMYFUNCTION("""COMPUTED_VALUE"""),96.51)</f>
        <v>96.51</v>
      </c>
      <c r="D1181" s="1">
        <f>IFERROR(__xludf.DUMMYFUNCTION("""COMPUTED_VALUE"""),95.09)</f>
        <v>95.09</v>
      </c>
      <c r="E1181" s="1">
        <f>IFERROR(__xludf.DUMMYFUNCTION("""COMPUTED_VALUE"""),96.41)</f>
        <v>96.41</v>
      </c>
      <c r="F1181" s="1">
        <f>IFERROR(__xludf.DUMMYFUNCTION("""COMPUTED_VALUE"""),31756.0)</f>
        <v>31756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IFERROR(__xludf.DUMMYFUNCTION("""COMPUTED_VALUE"""),95.78)</f>
        <v>95.78</v>
      </c>
      <c r="C1182" s="1">
        <f>IFERROR(__xludf.DUMMYFUNCTION("""COMPUTED_VALUE"""),96.75)</f>
        <v>96.75</v>
      </c>
      <c r="D1182" s="1">
        <f>IFERROR(__xludf.DUMMYFUNCTION("""COMPUTED_VALUE"""),95.78)</f>
        <v>95.78</v>
      </c>
      <c r="E1182" s="1">
        <f>IFERROR(__xludf.DUMMYFUNCTION("""COMPUTED_VALUE"""),96.55)</f>
        <v>96.55</v>
      </c>
      <c r="F1182" s="1">
        <f>IFERROR(__xludf.DUMMYFUNCTION("""COMPUTED_VALUE"""),40513.0)</f>
        <v>40513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IFERROR(__xludf.DUMMYFUNCTION("""COMPUTED_VALUE"""),96.38)</f>
        <v>96.38</v>
      </c>
      <c r="C1183" s="1">
        <f>IFERROR(__xludf.DUMMYFUNCTION("""COMPUTED_VALUE"""),96.49)</f>
        <v>96.49</v>
      </c>
      <c r="D1183" s="1">
        <f>IFERROR(__xludf.DUMMYFUNCTION("""COMPUTED_VALUE"""),95.17)</f>
        <v>95.17</v>
      </c>
      <c r="E1183" s="1">
        <f>IFERROR(__xludf.DUMMYFUNCTION("""COMPUTED_VALUE"""),95.37)</f>
        <v>95.37</v>
      </c>
      <c r="F1183" s="1">
        <f>IFERROR(__xludf.DUMMYFUNCTION("""COMPUTED_VALUE"""),41471.0)</f>
        <v>41471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IFERROR(__xludf.DUMMYFUNCTION("""COMPUTED_VALUE"""),95.92)</f>
        <v>95.92</v>
      </c>
      <c r="C1184" s="1">
        <f>IFERROR(__xludf.DUMMYFUNCTION("""COMPUTED_VALUE"""),95.92)</f>
        <v>95.92</v>
      </c>
      <c r="D1184" s="1">
        <f>IFERROR(__xludf.DUMMYFUNCTION("""COMPUTED_VALUE"""),94.93)</f>
        <v>94.93</v>
      </c>
      <c r="E1184" s="1">
        <f>IFERROR(__xludf.DUMMYFUNCTION("""COMPUTED_VALUE"""),95.44)</f>
        <v>95.44</v>
      </c>
      <c r="F1184" s="1">
        <f>IFERROR(__xludf.DUMMYFUNCTION("""COMPUTED_VALUE"""),32825.0)</f>
        <v>32825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IFERROR(__xludf.DUMMYFUNCTION("""COMPUTED_VALUE"""),95.87)</f>
        <v>95.87</v>
      </c>
      <c r="C1185" s="1">
        <f>IFERROR(__xludf.DUMMYFUNCTION("""COMPUTED_VALUE"""),96.45)</f>
        <v>96.45</v>
      </c>
      <c r="D1185" s="1">
        <f>IFERROR(__xludf.DUMMYFUNCTION("""COMPUTED_VALUE"""),95.27)</f>
        <v>95.27</v>
      </c>
      <c r="E1185" s="1">
        <f>IFERROR(__xludf.DUMMYFUNCTION("""COMPUTED_VALUE"""),96.18)</f>
        <v>96.18</v>
      </c>
      <c r="F1185" s="1">
        <f>IFERROR(__xludf.DUMMYFUNCTION("""COMPUTED_VALUE"""),30533.0)</f>
        <v>30533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IFERROR(__xludf.DUMMYFUNCTION("""COMPUTED_VALUE"""),96.34)</f>
        <v>96.34</v>
      </c>
      <c r="C1186" s="1">
        <f>IFERROR(__xludf.DUMMYFUNCTION("""COMPUTED_VALUE"""),96.6)</f>
        <v>96.6</v>
      </c>
      <c r="D1186" s="1">
        <f>IFERROR(__xludf.DUMMYFUNCTION("""COMPUTED_VALUE"""),95.76)</f>
        <v>95.76</v>
      </c>
      <c r="E1186" s="1">
        <f>IFERROR(__xludf.DUMMYFUNCTION("""COMPUTED_VALUE"""),96.1)</f>
        <v>96.1</v>
      </c>
      <c r="F1186" s="1">
        <f>IFERROR(__xludf.DUMMYFUNCTION("""COMPUTED_VALUE"""),40757.0)</f>
        <v>40757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IFERROR(__xludf.DUMMYFUNCTION("""COMPUTED_VALUE"""),96.03)</f>
        <v>96.03</v>
      </c>
      <c r="C1187" s="1">
        <f>IFERROR(__xludf.DUMMYFUNCTION("""COMPUTED_VALUE"""),97.03)</f>
        <v>97.03</v>
      </c>
      <c r="D1187" s="1">
        <f>IFERROR(__xludf.DUMMYFUNCTION("""COMPUTED_VALUE"""),95.79)</f>
        <v>95.79</v>
      </c>
      <c r="E1187" s="1">
        <f>IFERROR(__xludf.DUMMYFUNCTION("""COMPUTED_VALUE"""),96.91)</f>
        <v>96.91</v>
      </c>
      <c r="F1187" s="1">
        <f>IFERROR(__xludf.DUMMYFUNCTION("""COMPUTED_VALUE"""),35470.0)</f>
        <v>35470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IFERROR(__xludf.DUMMYFUNCTION("""COMPUTED_VALUE"""),96.45)</f>
        <v>96.45</v>
      </c>
      <c r="C1188" s="1">
        <f>IFERROR(__xludf.DUMMYFUNCTION("""COMPUTED_VALUE"""),97.5)</f>
        <v>97.5</v>
      </c>
      <c r="D1188" s="1">
        <f>IFERROR(__xludf.DUMMYFUNCTION("""COMPUTED_VALUE"""),95.67)</f>
        <v>95.67</v>
      </c>
      <c r="E1188" s="1">
        <f>IFERROR(__xludf.DUMMYFUNCTION("""COMPUTED_VALUE"""),95.91)</f>
        <v>95.91</v>
      </c>
      <c r="F1188" s="1">
        <f>IFERROR(__xludf.DUMMYFUNCTION("""COMPUTED_VALUE"""),91380.0)</f>
        <v>91380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IFERROR(__xludf.DUMMYFUNCTION("""COMPUTED_VALUE"""),95.3)</f>
        <v>95.3</v>
      </c>
      <c r="C1189" s="1">
        <f>IFERROR(__xludf.DUMMYFUNCTION("""COMPUTED_VALUE"""),96.2)</f>
        <v>96.2</v>
      </c>
      <c r="D1189" s="1">
        <f>IFERROR(__xludf.DUMMYFUNCTION("""COMPUTED_VALUE"""),95.14)</f>
        <v>95.14</v>
      </c>
      <c r="E1189" s="1">
        <f>IFERROR(__xludf.DUMMYFUNCTION("""COMPUTED_VALUE"""),95.99)</f>
        <v>95.99</v>
      </c>
      <c r="F1189" s="1">
        <f>IFERROR(__xludf.DUMMYFUNCTION("""COMPUTED_VALUE"""),62141.0)</f>
        <v>62141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IFERROR(__xludf.DUMMYFUNCTION("""COMPUTED_VALUE"""),95.46)</f>
        <v>95.46</v>
      </c>
      <c r="C1190" s="1">
        <f>IFERROR(__xludf.DUMMYFUNCTION("""COMPUTED_VALUE"""),95.88)</f>
        <v>95.88</v>
      </c>
      <c r="D1190" s="1">
        <f>IFERROR(__xludf.DUMMYFUNCTION("""COMPUTED_VALUE"""),94.84)</f>
        <v>94.84</v>
      </c>
      <c r="E1190" s="1">
        <f>IFERROR(__xludf.DUMMYFUNCTION("""COMPUTED_VALUE"""),94.86)</f>
        <v>94.86</v>
      </c>
      <c r="F1190" s="1">
        <f>IFERROR(__xludf.DUMMYFUNCTION("""COMPUTED_VALUE"""),71278.0)</f>
        <v>71278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IFERROR(__xludf.DUMMYFUNCTION("""COMPUTED_VALUE"""),94.96)</f>
        <v>94.96</v>
      </c>
      <c r="C1191" s="1">
        <f>IFERROR(__xludf.DUMMYFUNCTION("""COMPUTED_VALUE"""),95.29)</f>
        <v>95.29</v>
      </c>
      <c r="D1191" s="1">
        <f>IFERROR(__xludf.DUMMYFUNCTION("""COMPUTED_VALUE"""),94.74)</f>
        <v>94.74</v>
      </c>
      <c r="E1191" s="1">
        <f>IFERROR(__xludf.DUMMYFUNCTION("""COMPUTED_VALUE"""),95.0)</f>
        <v>95</v>
      </c>
      <c r="F1191" s="1">
        <f>IFERROR(__xludf.DUMMYFUNCTION("""COMPUTED_VALUE"""),51644.0)</f>
        <v>51644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IFERROR(__xludf.DUMMYFUNCTION("""COMPUTED_VALUE"""),94.66)</f>
        <v>94.66</v>
      </c>
      <c r="C1192" s="1">
        <f>IFERROR(__xludf.DUMMYFUNCTION("""COMPUTED_VALUE"""),94.67)</f>
        <v>94.67</v>
      </c>
      <c r="D1192" s="1">
        <f>IFERROR(__xludf.DUMMYFUNCTION("""COMPUTED_VALUE"""),92.85)</f>
        <v>92.85</v>
      </c>
      <c r="E1192" s="1">
        <f>IFERROR(__xludf.DUMMYFUNCTION("""COMPUTED_VALUE"""),93.72)</f>
        <v>93.72</v>
      </c>
      <c r="F1192" s="1">
        <f>IFERROR(__xludf.DUMMYFUNCTION("""COMPUTED_VALUE"""),44344.0)</f>
        <v>44344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IFERROR(__xludf.DUMMYFUNCTION("""COMPUTED_VALUE"""),94.45)</f>
        <v>94.45</v>
      </c>
      <c r="C1193" s="1">
        <f>IFERROR(__xludf.DUMMYFUNCTION("""COMPUTED_VALUE"""),94.85)</f>
        <v>94.85</v>
      </c>
      <c r="D1193" s="1">
        <f>IFERROR(__xludf.DUMMYFUNCTION("""COMPUTED_VALUE"""),93.46)</f>
        <v>93.46</v>
      </c>
      <c r="E1193" s="1">
        <f>IFERROR(__xludf.DUMMYFUNCTION("""COMPUTED_VALUE"""),94.24)</f>
        <v>94.24</v>
      </c>
      <c r="F1193" s="1">
        <f>IFERROR(__xludf.DUMMYFUNCTION("""COMPUTED_VALUE"""),35696.0)</f>
        <v>35696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IFERROR(__xludf.DUMMYFUNCTION("""COMPUTED_VALUE"""),93.18)</f>
        <v>93.18</v>
      </c>
      <c r="C1194" s="1">
        <f>IFERROR(__xludf.DUMMYFUNCTION("""COMPUTED_VALUE"""),94.36)</f>
        <v>94.36</v>
      </c>
      <c r="D1194" s="1">
        <f>IFERROR(__xludf.DUMMYFUNCTION("""COMPUTED_VALUE"""),93.09)</f>
        <v>93.09</v>
      </c>
      <c r="E1194" s="1">
        <f>IFERROR(__xludf.DUMMYFUNCTION("""COMPUTED_VALUE"""),94.26)</f>
        <v>94.26</v>
      </c>
      <c r="F1194" s="1">
        <f>IFERROR(__xludf.DUMMYFUNCTION("""COMPUTED_VALUE"""),23843.0)</f>
        <v>23843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IFERROR(__xludf.DUMMYFUNCTION("""COMPUTED_VALUE"""),95.1)</f>
        <v>95.1</v>
      </c>
      <c r="C1195" s="1">
        <f>IFERROR(__xludf.DUMMYFUNCTION("""COMPUTED_VALUE"""),95.1)</f>
        <v>95.1</v>
      </c>
      <c r="D1195" s="1">
        <f>IFERROR(__xludf.DUMMYFUNCTION("""COMPUTED_VALUE"""),93.45)</f>
        <v>93.45</v>
      </c>
      <c r="E1195" s="1">
        <f>IFERROR(__xludf.DUMMYFUNCTION("""COMPUTED_VALUE"""),93.56)</f>
        <v>93.56</v>
      </c>
      <c r="F1195" s="1">
        <f>IFERROR(__xludf.DUMMYFUNCTION("""COMPUTED_VALUE"""),86078.0)</f>
        <v>86078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IFERROR(__xludf.DUMMYFUNCTION("""COMPUTED_VALUE"""),92.88)</f>
        <v>92.88</v>
      </c>
      <c r="C1196" s="1">
        <f>IFERROR(__xludf.DUMMYFUNCTION("""COMPUTED_VALUE"""),93.58)</f>
        <v>93.58</v>
      </c>
      <c r="D1196" s="1">
        <f>IFERROR(__xludf.DUMMYFUNCTION("""COMPUTED_VALUE"""),91.76)</f>
        <v>91.76</v>
      </c>
      <c r="E1196" s="1">
        <f>IFERROR(__xludf.DUMMYFUNCTION("""COMPUTED_VALUE"""),92.59)</f>
        <v>92.59</v>
      </c>
      <c r="F1196" s="1">
        <f>IFERROR(__xludf.DUMMYFUNCTION("""COMPUTED_VALUE"""),50440.0)</f>
        <v>50440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IFERROR(__xludf.DUMMYFUNCTION("""COMPUTED_VALUE"""),93.47)</f>
        <v>93.47</v>
      </c>
      <c r="C1197" s="1">
        <f>IFERROR(__xludf.DUMMYFUNCTION("""COMPUTED_VALUE"""),93.71)</f>
        <v>93.71</v>
      </c>
      <c r="D1197" s="1">
        <f>IFERROR(__xludf.DUMMYFUNCTION("""COMPUTED_VALUE"""),92.55)</f>
        <v>92.55</v>
      </c>
      <c r="E1197" s="1">
        <f>IFERROR(__xludf.DUMMYFUNCTION("""COMPUTED_VALUE"""),92.82)</f>
        <v>92.82</v>
      </c>
      <c r="F1197" s="1">
        <f>IFERROR(__xludf.DUMMYFUNCTION("""COMPUTED_VALUE"""),31981.0)</f>
        <v>31981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IFERROR(__xludf.DUMMYFUNCTION("""COMPUTED_VALUE"""),93.6)</f>
        <v>93.6</v>
      </c>
      <c r="C1198" s="1">
        <f>IFERROR(__xludf.DUMMYFUNCTION("""COMPUTED_VALUE"""),94.01)</f>
        <v>94.01</v>
      </c>
      <c r="D1198" s="1">
        <f>IFERROR(__xludf.DUMMYFUNCTION("""COMPUTED_VALUE"""),92.96)</f>
        <v>92.96</v>
      </c>
      <c r="E1198" s="1">
        <f>IFERROR(__xludf.DUMMYFUNCTION("""COMPUTED_VALUE"""),93.69)</f>
        <v>93.69</v>
      </c>
      <c r="F1198" s="1">
        <f>IFERROR(__xludf.DUMMYFUNCTION("""COMPUTED_VALUE"""),37357.0)</f>
        <v>37357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IFERROR(__xludf.DUMMYFUNCTION("""COMPUTED_VALUE"""),93.07)</f>
        <v>93.07</v>
      </c>
      <c r="C1199" s="1">
        <f>IFERROR(__xludf.DUMMYFUNCTION("""COMPUTED_VALUE"""),93.92)</f>
        <v>93.92</v>
      </c>
      <c r="D1199" s="1">
        <f>IFERROR(__xludf.DUMMYFUNCTION("""COMPUTED_VALUE"""),92.69)</f>
        <v>92.69</v>
      </c>
      <c r="E1199" s="1">
        <f>IFERROR(__xludf.DUMMYFUNCTION("""COMPUTED_VALUE"""),93.13)</f>
        <v>93.13</v>
      </c>
      <c r="F1199" s="1">
        <f>IFERROR(__xludf.DUMMYFUNCTION("""COMPUTED_VALUE"""),25595.0)</f>
        <v>25595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IFERROR(__xludf.DUMMYFUNCTION("""COMPUTED_VALUE"""),92.54)</f>
        <v>92.54</v>
      </c>
      <c r="C1200" s="1">
        <f>IFERROR(__xludf.DUMMYFUNCTION("""COMPUTED_VALUE"""),93.78)</f>
        <v>93.78</v>
      </c>
      <c r="D1200" s="1">
        <f>IFERROR(__xludf.DUMMYFUNCTION("""COMPUTED_VALUE"""),92.31)</f>
        <v>92.31</v>
      </c>
      <c r="E1200" s="1">
        <f>IFERROR(__xludf.DUMMYFUNCTION("""COMPUTED_VALUE"""),92.45)</f>
        <v>92.45</v>
      </c>
      <c r="F1200" s="1">
        <f>IFERROR(__xludf.DUMMYFUNCTION("""COMPUTED_VALUE"""),38527.0)</f>
        <v>38527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IFERROR(__xludf.DUMMYFUNCTION("""COMPUTED_VALUE"""),92.21)</f>
        <v>92.21</v>
      </c>
      <c r="C1201" s="1">
        <f>IFERROR(__xludf.DUMMYFUNCTION("""COMPUTED_VALUE"""),94.21)</f>
        <v>94.21</v>
      </c>
      <c r="D1201" s="1">
        <f>IFERROR(__xludf.DUMMYFUNCTION("""COMPUTED_VALUE"""),91.74)</f>
        <v>91.74</v>
      </c>
      <c r="E1201" s="1">
        <f>IFERROR(__xludf.DUMMYFUNCTION("""COMPUTED_VALUE"""),94.06)</f>
        <v>94.06</v>
      </c>
      <c r="F1201" s="1">
        <f>IFERROR(__xludf.DUMMYFUNCTION("""COMPUTED_VALUE"""),45301.0)</f>
        <v>45301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IFERROR(__xludf.DUMMYFUNCTION("""COMPUTED_VALUE"""),93.78)</f>
        <v>93.78</v>
      </c>
      <c r="C1202" s="1">
        <f>IFERROR(__xludf.DUMMYFUNCTION("""COMPUTED_VALUE"""),94.04)</f>
        <v>94.04</v>
      </c>
      <c r="D1202" s="1">
        <f>IFERROR(__xludf.DUMMYFUNCTION("""COMPUTED_VALUE"""),92.33)</f>
        <v>92.33</v>
      </c>
      <c r="E1202" s="1">
        <f>IFERROR(__xludf.DUMMYFUNCTION("""COMPUTED_VALUE"""),92.48)</f>
        <v>92.48</v>
      </c>
      <c r="F1202" s="1">
        <f>IFERROR(__xludf.DUMMYFUNCTION("""COMPUTED_VALUE"""),36940.0)</f>
        <v>36940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IFERROR(__xludf.DUMMYFUNCTION("""COMPUTED_VALUE"""),92.66)</f>
        <v>92.66</v>
      </c>
      <c r="C1203" s="1">
        <f>IFERROR(__xludf.DUMMYFUNCTION("""COMPUTED_VALUE"""),94.11)</f>
        <v>94.11</v>
      </c>
      <c r="D1203" s="1">
        <f>IFERROR(__xludf.DUMMYFUNCTION("""COMPUTED_VALUE"""),91.87)</f>
        <v>91.87</v>
      </c>
      <c r="E1203" s="1">
        <f>IFERROR(__xludf.DUMMYFUNCTION("""COMPUTED_VALUE"""),92.45)</f>
        <v>92.45</v>
      </c>
      <c r="F1203" s="1">
        <f>IFERROR(__xludf.DUMMYFUNCTION("""COMPUTED_VALUE"""),32002.0)</f>
        <v>32002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IFERROR(__xludf.DUMMYFUNCTION("""COMPUTED_VALUE"""),91.85)</f>
        <v>91.85</v>
      </c>
      <c r="C1204" s="1">
        <f>IFERROR(__xludf.DUMMYFUNCTION("""COMPUTED_VALUE"""),94.33)</f>
        <v>94.33</v>
      </c>
      <c r="D1204" s="1">
        <f>IFERROR(__xludf.DUMMYFUNCTION("""COMPUTED_VALUE"""),91.85)</f>
        <v>91.85</v>
      </c>
      <c r="E1204" s="1">
        <f>IFERROR(__xludf.DUMMYFUNCTION("""COMPUTED_VALUE"""),93.08)</f>
        <v>93.08</v>
      </c>
      <c r="F1204" s="1">
        <f>IFERROR(__xludf.DUMMYFUNCTION("""COMPUTED_VALUE"""),49575.0)</f>
        <v>49575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IFERROR(__xludf.DUMMYFUNCTION("""COMPUTED_VALUE"""),93.71)</f>
        <v>93.71</v>
      </c>
      <c r="C1205" s="1">
        <f>IFERROR(__xludf.DUMMYFUNCTION("""COMPUTED_VALUE"""),94.24)</f>
        <v>94.24</v>
      </c>
      <c r="D1205" s="1">
        <f>IFERROR(__xludf.DUMMYFUNCTION("""COMPUTED_VALUE"""),92.41)</f>
        <v>92.41</v>
      </c>
      <c r="E1205" s="1">
        <f>IFERROR(__xludf.DUMMYFUNCTION("""COMPUTED_VALUE"""),93.8)</f>
        <v>93.8</v>
      </c>
      <c r="F1205" s="1">
        <f>IFERROR(__xludf.DUMMYFUNCTION("""COMPUTED_VALUE"""),68120.0)</f>
        <v>68120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IFERROR(__xludf.DUMMYFUNCTION("""COMPUTED_VALUE"""),93.43)</f>
        <v>93.43</v>
      </c>
      <c r="C1206" s="1">
        <f>IFERROR(__xludf.DUMMYFUNCTION("""COMPUTED_VALUE"""),94.44)</f>
        <v>94.44</v>
      </c>
      <c r="D1206" s="1">
        <f>IFERROR(__xludf.DUMMYFUNCTION("""COMPUTED_VALUE"""),90.71)</f>
        <v>90.71</v>
      </c>
      <c r="E1206" s="1">
        <f>IFERROR(__xludf.DUMMYFUNCTION("""COMPUTED_VALUE"""),94.23)</f>
        <v>94.23</v>
      </c>
      <c r="F1206" s="1">
        <f>IFERROR(__xludf.DUMMYFUNCTION("""COMPUTED_VALUE"""),67645.0)</f>
        <v>67645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IFERROR(__xludf.DUMMYFUNCTION("""COMPUTED_VALUE"""),93.03)</f>
        <v>93.03</v>
      </c>
      <c r="C1207" s="1">
        <f>IFERROR(__xludf.DUMMYFUNCTION("""COMPUTED_VALUE"""),94.62)</f>
        <v>94.62</v>
      </c>
      <c r="D1207" s="1">
        <f>IFERROR(__xludf.DUMMYFUNCTION("""COMPUTED_VALUE"""),92.5)</f>
        <v>92.5</v>
      </c>
      <c r="E1207" s="1">
        <f>IFERROR(__xludf.DUMMYFUNCTION("""COMPUTED_VALUE"""),94.04)</f>
        <v>94.04</v>
      </c>
      <c r="F1207" s="1">
        <f>IFERROR(__xludf.DUMMYFUNCTION("""COMPUTED_VALUE"""),65874.0)</f>
        <v>65874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IFERROR(__xludf.DUMMYFUNCTION("""COMPUTED_VALUE"""),96.5)</f>
        <v>96.5</v>
      </c>
      <c r="C1208" s="1">
        <f>IFERROR(__xludf.DUMMYFUNCTION("""COMPUTED_VALUE"""),96.5)</f>
        <v>96.5</v>
      </c>
      <c r="D1208" s="1">
        <f>IFERROR(__xludf.DUMMYFUNCTION("""COMPUTED_VALUE"""),93.35)</f>
        <v>93.35</v>
      </c>
      <c r="E1208" s="1">
        <f>IFERROR(__xludf.DUMMYFUNCTION("""COMPUTED_VALUE"""),94.54)</f>
        <v>94.54</v>
      </c>
      <c r="F1208" s="1">
        <f>IFERROR(__xludf.DUMMYFUNCTION("""COMPUTED_VALUE"""),71001.0)</f>
        <v>71001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IFERROR(__xludf.DUMMYFUNCTION("""COMPUTED_VALUE"""),93.74)</f>
        <v>93.74</v>
      </c>
      <c r="C1209" s="1">
        <f>IFERROR(__xludf.DUMMYFUNCTION("""COMPUTED_VALUE"""),96.61)</f>
        <v>96.61</v>
      </c>
      <c r="D1209" s="1">
        <f>IFERROR(__xludf.DUMMYFUNCTION("""COMPUTED_VALUE"""),93.74)</f>
        <v>93.74</v>
      </c>
      <c r="E1209" s="1">
        <f>IFERROR(__xludf.DUMMYFUNCTION("""COMPUTED_VALUE"""),96.48)</f>
        <v>96.48</v>
      </c>
      <c r="F1209" s="1">
        <f>IFERROR(__xludf.DUMMYFUNCTION("""COMPUTED_VALUE"""),52585.0)</f>
        <v>52585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IFERROR(__xludf.DUMMYFUNCTION("""COMPUTED_VALUE"""),96.51)</f>
        <v>96.51</v>
      </c>
      <c r="C1210" s="1">
        <f>IFERROR(__xludf.DUMMYFUNCTION("""COMPUTED_VALUE"""),98.18)</f>
        <v>98.18</v>
      </c>
      <c r="D1210" s="1">
        <f>IFERROR(__xludf.DUMMYFUNCTION("""COMPUTED_VALUE"""),96.2)</f>
        <v>96.2</v>
      </c>
      <c r="E1210" s="1">
        <f>IFERROR(__xludf.DUMMYFUNCTION("""COMPUTED_VALUE"""),98.18)</f>
        <v>98.18</v>
      </c>
      <c r="F1210" s="1">
        <f>IFERROR(__xludf.DUMMYFUNCTION("""COMPUTED_VALUE"""),52857.0)</f>
        <v>52857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IFERROR(__xludf.DUMMYFUNCTION("""COMPUTED_VALUE"""),97.39)</f>
        <v>97.39</v>
      </c>
      <c r="C1211" s="1">
        <f>IFERROR(__xludf.DUMMYFUNCTION("""COMPUTED_VALUE"""),98.67)</f>
        <v>98.67</v>
      </c>
      <c r="D1211" s="1">
        <f>IFERROR(__xludf.DUMMYFUNCTION("""COMPUTED_VALUE"""),97.08)</f>
        <v>97.08</v>
      </c>
      <c r="E1211" s="1">
        <f>IFERROR(__xludf.DUMMYFUNCTION("""COMPUTED_VALUE"""),97.38)</f>
        <v>97.38</v>
      </c>
      <c r="F1211" s="1">
        <f>IFERROR(__xludf.DUMMYFUNCTION("""COMPUTED_VALUE"""),69189.0)</f>
        <v>69189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IFERROR(__xludf.DUMMYFUNCTION("""COMPUTED_VALUE"""),97.59)</f>
        <v>97.59</v>
      </c>
      <c r="C1212" s="1">
        <f>IFERROR(__xludf.DUMMYFUNCTION("""COMPUTED_VALUE"""),98.99)</f>
        <v>98.99</v>
      </c>
      <c r="D1212" s="1">
        <f>IFERROR(__xludf.DUMMYFUNCTION("""COMPUTED_VALUE"""),97.59)</f>
        <v>97.59</v>
      </c>
      <c r="E1212" s="1">
        <f>IFERROR(__xludf.DUMMYFUNCTION("""COMPUTED_VALUE"""),98.22)</f>
        <v>98.22</v>
      </c>
      <c r="F1212" s="1">
        <f>IFERROR(__xludf.DUMMYFUNCTION("""COMPUTED_VALUE"""),59602.0)</f>
        <v>59602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IFERROR(__xludf.DUMMYFUNCTION("""COMPUTED_VALUE"""),97.88)</f>
        <v>97.88</v>
      </c>
      <c r="C1213" s="1">
        <f>IFERROR(__xludf.DUMMYFUNCTION("""COMPUTED_VALUE"""),98.67)</f>
        <v>98.67</v>
      </c>
      <c r="D1213" s="1">
        <f>IFERROR(__xludf.DUMMYFUNCTION("""COMPUTED_VALUE"""),97.67)</f>
        <v>97.67</v>
      </c>
      <c r="E1213" s="1">
        <f>IFERROR(__xludf.DUMMYFUNCTION("""COMPUTED_VALUE"""),98.24)</f>
        <v>98.24</v>
      </c>
      <c r="F1213" s="1">
        <f>IFERROR(__xludf.DUMMYFUNCTION("""COMPUTED_VALUE"""),26684.0)</f>
        <v>26684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IFERROR(__xludf.DUMMYFUNCTION("""COMPUTED_VALUE"""),98.16)</f>
        <v>98.16</v>
      </c>
      <c r="C1214" s="1">
        <f>IFERROR(__xludf.DUMMYFUNCTION("""COMPUTED_VALUE"""),99.24)</f>
        <v>99.24</v>
      </c>
      <c r="D1214" s="1">
        <f>IFERROR(__xludf.DUMMYFUNCTION("""COMPUTED_VALUE"""),97.85)</f>
        <v>97.85</v>
      </c>
      <c r="E1214" s="1">
        <f>IFERROR(__xludf.DUMMYFUNCTION("""COMPUTED_VALUE"""),98.81)</f>
        <v>98.81</v>
      </c>
      <c r="F1214" s="1">
        <f>IFERROR(__xludf.DUMMYFUNCTION("""COMPUTED_VALUE"""),29563.0)</f>
        <v>29563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IFERROR(__xludf.DUMMYFUNCTION("""COMPUTED_VALUE"""),99.0)</f>
        <v>99</v>
      </c>
      <c r="C1215" s="1">
        <f>IFERROR(__xludf.DUMMYFUNCTION("""COMPUTED_VALUE"""),101.24)</f>
        <v>101.24</v>
      </c>
      <c r="D1215" s="1">
        <f>IFERROR(__xludf.DUMMYFUNCTION("""COMPUTED_VALUE"""),98.8)</f>
        <v>98.8</v>
      </c>
      <c r="E1215" s="1">
        <f>IFERROR(__xludf.DUMMYFUNCTION("""COMPUTED_VALUE"""),101.12)</f>
        <v>101.12</v>
      </c>
      <c r="F1215" s="1">
        <f>IFERROR(__xludf.DUMMYFUNCTION("""COMPUTED_VALUE"""),59005.0)</f>
        <v>59005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IFERROR(__xludf.DUMMYFUNCTION("""COMPUTED_VALUE"""),101.77)</f>
        <v>101.77</v>
      </c>
      <c r="C1216" s="1">
        <f>IFERROR(__xludf.DUMMYFUNCTION("""COMPUTED_VALUE"""),101.77)</f>
        <v>101.77</v>
      </c>
      <c r="D1216" s="1">
        <f>IFERROR(__xludf.DUMMYFUNCTION("""COMPUTED_VALUE"""),100.16)</f>
        <v>100.16</v>
      </c>
      <c r="E1216" s="1">
        <f>IFERROR(__xludf.DUMMYFUNCTION("""COMPUTED_VALUE"""),101.06)</f>
        <v>101.06</v>
      </c>
      <c r="F1216" s="1">
        <f>IFERROR(__xludf.DUMMYFUNCTION("""COMPUTED_VALUE"""),34344.0)</f>
        <v>34344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IFERROR(__xludf.DUMMYFUNCTION("""COMPUTED_VALUE"""),99.7)</f>
        <v>99.7</v>
      </c>
      <c r="C1217" s="1">
        <f>IFERROR(__xludf.DUMMYFUNCTION("""COMPUTED_VALUE"""),102.68)</f>
        <v>102.68</v>
      </c>
      <c r="D1217" s="1">
        <f>IFERROR(__xludf.DUMMYFUNCTION("""COMPUTED_VALUE"""),99.7)</f>
        <v>99.7</v>
      </c>
      <c r="E1217" s="1">
        <f>IFERROR(__xludf.DUMMYFUNCTION("""COMPUTED_VALUE"""),102.5)</f>
        <v>102.5</v>
      </c>
      <c r="F1217" s="1">
        <f>IFERROR(__xludf.DUMMYFUNCTION("""COMPUTED_VALUE"""),51265.0)</f>
        <v>51265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IFERROR(__xludf.DUMMYFUNCTION("""COMPUTED_VALUE"""),102.75)</f>
        <v>102.75</v>
      </c>
      <c r="C1218" s="1">
        <f>IFERROR(__xludf.DUMMYFUNCTION("""COMPUTED_VALUE"""),104.38)</f>
        <v>104.38</v>
      </c>
      <c r="D1218" s="1">
        <f>IFERROR(__xludf.DUMMYFUNCTION("""COMPUTED_VALUE"""),102.19)</f>
        <v>102.19</v>
      </c>
      <c r="E1218" s="1">
        <f>IFERROR(__xludf.DUMMYFUNCTION("""COMPUTED_VALUE"""),103.03)</f>
        <v>103.03</v>
      </c>
      <c r="F1218" s="1">
        <f>IFERROR(__xludf.DUMMYFUNCTION("""COMPUTED_VALUE"""),66848.0)</f>
        <v>66848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IFERROR(__xludf.DUMMYFUNCTION("""COMPUTED_VALUE"""),102.96)</f>
        <v>102.96</v>
      </c>
      <c r="C1219" s="1">
        <f>IFERROR(__xludf.DUMMYFUNCTION("""COMPUTED_VALUE"""),103.43)</f>
        <v>103.43</v>
      </c>
      <c r="D1219" s="1">
        <f>IFERROR(__xludf.DUMMYFUNCTION("""COMPUTED_VALUE"""),102.15)</f>
        <v>102.15</v>
      </c>
      <c r="E1219" s="1">
        <f>IFERROR(__xludf.DUMMYFUNCTION("""COMPUTED_VALUE"""),103.28)</f>
        <v>103.28</v>
      </c>
      <c r="F1219" s="1">
        <f>IFERROR(__xludf.DUMMYFUNCTION("""COMPUTED_VALUE"""),65925.0)</f>
        <v>65925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IFERROR(__xludf.DUMMYFUNCTION("""COMPUTED_VALUE"""),103.26)</f>
        <v>103.26</v>
      </c>
      <c r="C1220" s="1">
        <f>IFERROR(__xludf.DUMMYFUNCTION("""COMPUTED_VALUE"""),104.32)</f>
        <v>104.32</v>
      </c>
      <c r="D1220" s="1">
        <f>IFERROR(__xludf.DUMMYFUNCTION("""COMPUTED_VALUE"""),102.36)</f>
        <v>102.36</v>
      </c>
      <c r="E1220" s="1">
        <f>IFERROR(__xludf.DUMMYFUNCTION("""COMPUTED_VALUE"""),103.02)</f>
        <v>103.02</v>
      </c>
      <c r="F1220" s="1">
        <f>IFERROR(__xludf.DUMMYFUNCTION("""COMPUTED_VALUE"""),40966.0)</f>
        <v>40966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IFERROR(__xludf.DUMMYFUNCTION("""COMPUTED_VALUE"""),103.95)</f>
        <v>103.95</v>
      </c>
      <c r="C1221" s="1">
        <f>IFERROR(__xludf.DUMMYFUNCTION("""COMPUTED_VALUE"""),103.96)</f>
        <v>103.96</v>
      </c>
      <c r="D1221" s="1">
        <f>IFERROR(__xludf.DUMMYFUNCTION("""COMPUTED_VALUE"""),102.33)</f>
        <v>102.33</v>
      </c>
      <c r="E1221" s="1">
        <f>IFERROR(__xludf.DUMMYFUNCTION("""COMPUTED_VALUE"""),102.99)</f>
        <v>102.99</v>
      </c>
      <c r="F1221" s="1">
        <f>IFERROR(__xludf.DUMMYFUNCTION("""COMPUTED_VALUE"""),37706.0)</f>
        <v>37706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IFERROR(__xludf.DUMMYFUNCTION("""COMPUTED_VALUE"""),101.03)</f>
        <v>101.03</v>
      </c>
      <c r="C1222" s="1">
        <f>IFERROR(__xludf.DUMMYFUNCTION("""COMPUTED_VALUE"""),104.0)</f>
        <v>104</v>
      </c>
      <c r="D1222" s="1">
        <f>IFERROR(__xludf.DUMMYFUNCTION("""COMPUTED_VALUE"""),101.03)</f>
        <v>101.03</v>
      </c>
      <c r="E1222" s="1">
        <f>IFERROR(__xludf.DUMMYFUNCTION("""COMPUTED_VALUE"""),103.75)</f>
        <v>103.75</v>
      </c>
      <c r="F1222" s="1">
        <f>IFERROR(__xludf.DUMMYFUNCTION("""COMPUTED_VALUE"""),44180.0)</f>
        <v>44180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IFERROR(__xludf.DUMMYFUNCTION("""COMPUTED_VALUE"""),99.69)</f>
        <v>99.69</v>
      </c>
      <c r="C1223" s="1">
        <f>IFERROR(__xludf.DUMMYFUNCTION("""COMPUTED_VALUE"""),103.94)</f>
        <v>103.94</v>
      </c>
      <c r="D1223" s="1">
        <f>IFERROR(__xludf.DUMMYFUNCTION("""COMPUTED_VALUE"""),99.33)</f>
        <v>99.33</v>
      </c>
      <c r="E1223" s="1">
        <f>IFERROR(__xludf.DUMMYFUNCTION("""COMPUTED_VALUE"""),103.21)</f>
        <v>103.21</v>
      </c>
      <c r="F1223" s="1">
        <f>IFERROR(__xludf.DUMMYFUNCTION("""COMPUTED_VALUE"""),39876.0)</f>
        <v>39876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IFERROR(__xludf.DUMMYFUNCTION("""COMPUTED_VALUE"""),102.55)</f>
        <v>102.55</v>
      </c>
      <c r="C1224" s="1">
        <f>IFERROR(__xludf.DUMMYFUNCTION("""COMPUTED_VALUE"""),104.07)</f>
        <v>104.07</v>
      </c>
      <c r="D1224" s="1">
        <f>IFERROR(__xludf.DUMMYFUNCTION("""COMPUTED_VALUE"""),101.74)</f>
        <v>101.74</v>
      </c>
      <c r="E1224" s="1">
        <f>IFERROR(__xludf.DUMMYFUNCTION("""COMPUTED_VALUE"""),103.98)</f>
        <v>103.98</v>
      </c>
      <c r="F1224" s="1">
        <f>IFERROR(__xludf.DUMMYFUNCTION("""COMPUTED_VALUE"""),42363.0)</f>
        <v>42363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IFERROR(__xludf.DUMMYFUNCTION("""COMPUTED_VALUE"""),103.08)</f>
        <v>103.08</v>
      </c>
      <c r="C1225" s="1">
        <f>IFERROR(__xludf.DUMMYFUNCTION("""COMPUTED_VALUE"""),104.05)</f>
        <v>104.05</v>
      </c>
      <c r="D1225" s="1">
        <f>IFERROR(__xludf.DUMMYFUNCTION("""COMPUTED_VALUE"""),102.91)</f>
        <v>102.91</v>
      </c>
      <c r="E1225" s="1">
        <f>IFERROR(__xludf.DUMMYFUNCTION("""COMPUTED_VALUE"""),103.72)</f>
        <v>103.72</v>
      </c>
      <c r="F1225" s="1">
        <f>IFERROR(__xludf.DUMMYFUNCTION("""COMPUTED_VALUE"""),59708.0)</f>
        <v>59708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IFERROR(__xludf.DUMMYFUNCTION("""COMPUTED_VALUE"""),103.06)</f>
        <v>103.06</v>
      </c>
      <c r="C1226" s="1">
        <f>IFERROR(__xludf.DUMMYFUNCTION("""COMPUTED_VALUE"""),104.66)</f>
        <v>104.66</v>
      </c>
      <c r="D1226" s="1">
        <f>IFERROR(__xludf.DUMMYFUNCTION("""COMPUTED_VALUE"""),102.8)</f>
        <v>102.8</v>
      </c>
      <c r="E1226" s="1">
        <f>IFERROR(__xludf.DUMMYFUNCTION("""COMPUTED_VALUE"""),104.33)</f>
        <v>104.33</v>
      </c>
      <c r="F1226" s="1">
        <f>IFERROR(__xludf.DUMMYFUNCTION("""COMPUTED_VALUE"""),35974.0)</f>
        <v>35974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IFERROR(__xludf.DUMMYFUNCTION("""COMPUTED_VALUE"""),104.94)</f>
        <v>104.94</v>
      </c>
      <c r="C1227" s="1">
        <f>IFERROR(__xludf.DUMMYFUNCTION("""COMPUTED_VALUE"""),104.99)</f>
        <v>104.99</v>
      </c>
      <c r="D1227" s="1">
        <f>IFERROR(__xludf.DUMMYFUNCTION("""COMPUTED_VALUE"""),102.59)</f>
        <v>102.59</v>
      </c>
      <c r="E1227" s="1">
        <f>IFERROR(__xludf.DUMMYFUNCTION("""COMPUTED_VALUE"""),104.29)</f>
        <v>104.29</v>
      </c>
      <c r="F1227" s="1">
        <f>IFERROR(__xludf.DUMMYFUNCTION("""COMPUTED_VALUE"""),41717.0)</f>
        <v>41717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IFERROR(__xludf.DUMMYFUNCTION("""COMPUTED_VALUE"""),104.58)</f>
        <v>104.58</v>
      </c>
      <c r="C1228" s="1">
        <f>IFERROR(__xludf.DUMMYFUNCTION("""COMPUTED_VALUE"""),104.95)</f>
        <v>104.95</v>
      </c>
      <c r="D1228" s="1">
        <f>IFERROR(__xludf.DUMMYFUNCTION("""COMPUTED_VALUE"""),102.53)</f>
        <v>102.53</v>
      </c>
      <c r="E1228" s="1">
        <f>IFERROR(__xludf.DUMMYFUNCTION("""COMPUTED_VALUE"""),102.75)</f>
        <v>102.75</v>
      </c>
      <c r="F1228" s="1">
        <f>IFERROR(__xludf.DUMMYFUNCTION("""COMPUTED_VALUE"""),51113.0)</f>
        <v>51113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IFERROR(__xludf.DUMMYFUNCTION("""COMPUTED_VALUE"""),102.82)</f>
        <v>102.82</v>
      </c>
      <c r="C1229" s="1">
        <f>IFERROR(__xludf.DUMMYFUNCTION("""COMPUTED_VALUE"""),103.65)</f>
        <v>103.65</v>
      </c>
      <c r="D1229" s="1">
        <f>IFERROR(__xludf.DUMMYFUNCTION("""COMPUTED_VALUE"""),102.41)</f>
        <v>102.41</v>
      </c>
      <c r="E1229" s="1">
        <f>IFERROR(__xludf.DUMMYFUNCTION("""COMPUTED_VALUE"""),103.41)</f>
        <v>103.41</v>
      </c>
      <c r="F1229" s="1">
        <f>IFERROR(__xludf.DUMMYFUNCTION("""COMPUTED_VALUE"""),38053.0)</f>
        <v>38053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IFERROR(__xludf.DUMMYFUNCTION("""COMPUTED_VALUE"""),104.33)</f>
        <v>104.33</v>
      </c>
      <c r="C1230" s="1">
        <f>IFERROR(__xludf.DUMMYFUNCTION("""COMPUTED_VALUE"""),104.33)</f>
        <v>104.33</v>
      </c>
      <c r="D1230" s="1">
        <f>IFERROR(__xludf.DUMMYFUNCTION("""COMPUTED_VALUE"""),102.78)</f>
        <v>102.78</v>
      </c>
      <c r="E1230" s="1">
        <f>IFERROR(__xludf.DUMMYFUNCTION("""COMPUTED_VALUE"""),103.01)</f>
        <v>103.01</v>
      </c>
      <c r="F1230" s="1">
        <f>IFERROR(__xludf.DUMMYFUNCTION("""COMPUTED_VALUE"""),49550.0)</f>
        <v>49550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IFERROR(__xludf.DUMMYFUNCTION("""COMPUTED_VALUE"""),102.84)</f>
        <v>102.84</v>
      </c>
      <c r="C1231" s="1">
        <f>IFERROR(__xludf.DUMMYFUNCTION("""COMPUTED_VALUE"""),103.7)</f>
        <v>103.7</v>
      </c>
      <c r="D1231" s="1">
        <f>IFERROR(__xludf.DUMMYFUNCTION("""COMPUTED_VALUE"""),102.38)</f>
        <v>102.38</v>
      </c>
      <c r="E1231" s="1">
        <f>IFERROR(__xludf.DUMMYFUNCTION("""COMPUTED_VALUE"""),103.23)</f>
        <v>103.23</v>
      </c>
      <c r="F1231" s="1">
        <f>IFERROR(__xludf.DUMMYFUNCTION("""COMPUTED_VALUE"""),30612.0)</f>
        <v>30612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IFERROR(__xludf.DUMMYFUNCTION("""COMPUTED_VALUE"""),102.64)</f>
        <v>102.64</v>
      </c>
      <c r="C1232" s="1">
        <f>IFERROR(__xludf.DUMMYFUNCTION("""COMPUTED_VALUE"""),104.29)</f>
        <v>104.29</v>
      </c>
      <c r="D1232" s="1">
        <f>IFERROR(__xludf.DUMMYFUNCTION("""COMPUTED_VALUE"""),102.64)</f>
        <v>102.64</v>
      </c>
      <c r="E1232" s="1">
        <f>IFERROR(__xludf.DUMMYFUNCTION("""COMPUTED_VALUE"""),104.16)</f>
        <v>104.16</v>
      </c>
      <c r="F1232" s="1">
        <f>IFERROR(__xludf.DUMMYFUNCTION("""COMPUTED_VALUE"""),41489.0)</f>
        <v>41489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IFERROR(__xludf.DUMMYFUNCTION("""COMPUTED_VALUE"""),103.44)</f>
        <v>103.44</v>
      </c>
      <c r="C1233" s="1">
        <f>IFERROR(__xludf.DUMMYFUNCTION("""COMPUTED_VALUE"""),105.07)</f>
        <v>105.07</v>
      </c>
      <c r="D1233" s="1">
        <f>IFERROR(__xludf.DUMMYFUNCTION("""COMPUTED_VALUE"""),103.44)</f>
        <v>103.44</v>
      </c>
      <c r="E1233" s="1">
        <f>IFERROR(__xludf.DUMMYFUNCTION("""COMPUTED_VALUE"""),104.17)</f>
        <v>104.17</v>
      </c>
      <c r="F1233" s="1">
        <f>IFERROR(__xludf.DUMMYFUNCTION("""COMPUTED_VALUE"""),29052.0)</f>
        <v>29052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IFERROR(__xludf.DUMMYFUNCTION("""COMPUTED_VALUE"""),104.26)</f>
        <v>104.26</v>
      </c>
      <c r="C1234" s="1">
        <f>IFERROR(__xludf.DUMMYFUNCTION("""COMPUTED_VALUE"""),104.27)</f>
        <v>104.27</v>
      </c>
      <c r="D1234" s="1">
        <f>IFERROR(__xludf.DUMMYFUNCTION("""COMPUTED_VALUE"""),103.4)</f>
        <v>103.4</v>
      </c>
      <c r="E1234" s="1">
        <f>IFERROR(__xludf.DUMMYFUNCTION("""COMPUTED_VALUE"""),104.19)</f>
        <v>104.19</v>
      </c>
      <c r="F1234" s="1">
        <f>IFERROR(__xludf.DUMMYFUNCTION("""COMPUTED_VALUE"""),29673.0)</f>
        <v>29673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IFERROR(__xludf.DUMMYFUNCTION("""COMPUTED_VALUE"""),104.69)</f>
        <v>104.69</v>
      </c>
      <c r="C1235" s="1">
        <f>IFERROR(__xludf.DUMMYFUNCTION("""COMPUTED_VALUE"""),104.69)</f>
        <v>104.69</v>
      </c>
      <c r="D1235" s="1">
        <f>IFERROR(__xludf.DUMMYFUNCTION("""COMPUTED_VALUE"""),103.12)</f>
        <v>103.12</v>
      </c>
      <c r="E1235" s="1">
        <f>IFERROR(__xludf.DUMMYFUNCTION("""COMPUTED_VALUE"""),103.8)</f>
        <v>103.8</v>
      </c>
      <c r="F1235" s="1">
        <f>IFERROR(__xludf.DUMMYFUNCTION("""COMPUTED_VALUE"""),31228.0)</f>
        <v>31228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IFERROR(__xludf.DUMMYFUNCTION("""COMPUTED_VALUE"""),104.41)</f>
        <v>104.41</v>
      </c>
      <c r="C1236" s="1">
        <f>IFERROR(__xludf.DUMMYFUNCTION("""COMPUTED_VALUE"""),105.43)</f>
        <v>105.43</v>
      </c>
      <c r="D1236" s="1">
        <f>IFERROR(__xludf.DUMMYFUNCTION("""COMPUTED_VALUE"""),103.72)</f>
        <v>103.72</v>
      </c>
      <c r="E1236" s="1">
        <f>IFERROR(__xludf.DUMMYFUNCTION("""COMPUTED_VALUE"""),105.33)</f>
        <v>105.33</v>
      </c>
      <c r="F1236" s="1">
        <f>IFERROR(__xludf.DUMMYFUNCTION("""COMPUTED_VALUE"""),28602.0)</f>
        <v>28602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IFERROR(__xludf.DUMMYFUNCTION("""COMPUTED_VALUE"""),106.97)</f>
        <v>106.97</v>
      </c>
      <c r="C1237" s="1">
        <f>IFERROR(__xludf.DUMMYFUNCTION("""COMPUTED_VALUE"""),107.85)</f>
        <v>107.85</v>
      </c>
      <c r="D1237" s="1">
        <f>IFERROR(__xludf.DUMMYFUNCTION("""COMPUTED_VALUE"""),104.78)</f>
        <v>104.78</v>
      </c>
      <c r="E1237" s="1">
        <f>IFERROR(__xludf.DUMMYFUNCTION("""COMPUTED_VALUE"""),105.05)</f>
        <v>105.05</v>
      </c>
      <c r="F1237" s="1">
        <f>IFERROR(__xludf.DUMMYFUNCTION("""COMPUTED_VALUE"""),24570.0)</f>
        <v>24570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IFERROR(__xludf.DUMMYFUNCTION("""COMPUTED_VALUE"""),105.12)</f>
        <v>105.12</v>
      </c>
      <c r="C1238" s="1">
        <f>IFERROR(__xludf.DUMMYFUNCTION("""COMPUTED_VALUE"""),106.55)</f>
        <v>106.55</v>
      </c>
      <c r="D1238" s="1">
        <f>IFERROR(__xludf.DUMMYFUNCTION("""COMPUTED_VALUE"""),104.67)</f>
        <v>104.67</v>
      </c>
      <c r="E1238" s="1">
        <f>IFERROR(__xludf.DUMMYFUNCTION("""COMPUTED_VALUE"""),105.69)</f>
        <v>105.69</v>
      </c>
      <c r="F1238" s="1">
        <f>IFERROR(__xludf.DUMMYFUNCTION("""COMPUTED_VALUE"""),36191.0)</f>
        <v>36191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IFERROR(__xludf.DUMMYFUNCTION("""COMPUTED_VALUE"""),106.47)</f>
        <v>106.47</v>
      </c>
      <c r="C1239" s="1">
        <f>IFERROR(__xludf.DUMMYFUNCTION("""COMPUTED_VALUE"""),107.67)</f>
        <v>107.67</v>
      </c>
      <c r="D1239" s="1">
        <f>IFERROR(__xludf.DUMMYFUNCTION("""COMPUTED_VALUE"""),105.69)</f>
        <v>105.69</v>
      </c>
      <c r="E1239" s="1">
        <f>IFERROR(__xludf.DUMMYFUNCTION("""COMPUTED_VALUE"""),107.39)</f>
        <v>107.39</v>
      </c>
      <c r="F1239" s="1">
        <f>IFERROR(__xludf.DUMMYFUNCTION("""COMPUTED_VALUE"""),93917.0)</f>
        <v>93917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IFERROR(__xludf.DUMMYFUNCTION("""COMPUTED_VALUE"""),107.45)</f>
        <v>107.45</v>
      </c>
      <c r="C1240" s="1">
        <f>IFERROR(__xludf.DUMMYFUNCTION("""COMPUTED_VALUE"""),107.79)</f>
        <v>107.79</v>
      </c>
      <c r="D1240" s="1">
        <f>IFERROR(__xludf.DUMMYFUNCTION("""COMPUTED_VALUE"""),106.29)</f>
        <v>106.29</v>
      </c>
      <c r="E1240" s="1">
        <f>IFERROR(__xludf.DUMMYFUNCTION("""COMPUTED_VALUE"""),106.38)</f>
        <v>106.38</v>
      </c>
      <c r="F1240" s="1">
        <f>IFERROR(__xludf.DUMMYFUNCTION("""COMPUTED_VALUE"""),60911.0)</f>
        <v>60911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IFERROR(__xludf.DUMMYFUNCTION("""COMPUTED_VALUE"""),106.4)</f>
        <v>106.4</v>
      </c>
      <c r="C1241" s="1">
        <f>IFERROR(__xludf.DUMMYFUNCTION("""COMPUTED_VALUE"""),106.7)</f>
        <v>106.7</v>
      </c>
      <c r="D1241" s="1">
        <f>IFERROR(__xludf.DUMMYFUNCTION("""COMPUTED_VALUE"""),104.81)</f>
        <v>104.81</v>
      </c>
      <c r="E1241" s="1">
        <f>IFERROR(__xludf.DUMMYFUNCTION("""COMPUTED_VALUE"""),106.21)</f>
        <v>106.21</v>
      </c>
      <c r="F1241" s="1">
        <f>IFERROR(__xludf.DUMMYFUNCTION("""COMPUTED_VALUE"""),54170.0)</f>
        <v>54170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IFERROR(__xludf.DUMMYFUNCTION("""COMPUTED_VALUE"""),106.85)</f>
        <v>106.85</v>
      </c>
      <c r="C1242" s="1">
        <f>IFERROR(__xludf.DUMMYFUNCTION("""COMPUTED_VALUE"""),107.96)</f>
        <v>107.96</v>
      </c>
      <c r="D1242" s="1">
        <f>IFERROR(__xludf.DUMMYFUNCTION("""COMPUTED_VALUE"""),105.98)</f>
        <v>105.98</v>
      </c>
      <c r="E1242" s="1">
        <f>IFERROR(__xludf.DUMMYFUNCTION("""COMPUTED_VALUE"""),107.39)</f>
        <v>107.39</v>
      </c>
      <c r="F1242" s="1">
        <f>IFERROR(__xludf.DUMMYFUNCTION("""COMPUTED_VALUE"""),82675.0)</f>
        <v>82675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IFERROR(__xludf.DUMMYFUNCTION("""COMPUTED_VALUE"""),105.52)</f>
        <v>105.52</v>
      </c>
      <c r="C1243" s="1">
        <f>IFERROR(__xludf.DUMMYFUNCTION("""COMPUTED_VALUE"""),108.82)</f>
        <v>108.82</v>
      </c>
      <c r="D1243" s="1">
        <f>IFERROR(__xludf.DUMMYFUNCTION("""COMPUTED_VALUE"""),105.52)</f>
        <v>105.52</v>
      </c>
      <c r="E1243" s="1">
        <f>IFERROR(__xludf.DUMMYFUNCTION("""COMPUTED_VALUE"""),106.52)</f>
        <v>106.52</v>
      </c>
      <c r="F1243" s="1">
        <f>IFERROR(__xludf.DUMMYFUNCTION("""COMPUTED_VALUE"""),66823.0)</f>
        <v>66823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IFERROR(__xludf.DUMMYFUNCTION("""COMPUTED_VALUE"""),107.19)</f>
        <v>107.19</v>
      </c>
      <c r="C1244" s="1">
        <f>IFERROR(__xludf.DUMMYFUNCTION("""COMPUTED_VALUE"""),108.84)</f>
        <v>108.84</v>
      </c>
      <c r="D1244" s="1">
        <f>IFERROR(__xludf.DUMMYFUNCTION("""COMPUTED_VALUE"""),105.47)</f>
        <v>105.47</v>
      </c>
      <c r="E1244" s="1">
        <f>IFERROR(__xludf.DUMMYFUNCTION("""COMPUTED_VALUE"""),108.67)</f>
        <v>108.67</v>
      </c>
      <c r="F1244" s="1">
        <f>IFERROR(__xludf.DUMMYFUNCTION("""COMPUTED_VALUE"""),67049.0)</f>
        <v>67049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IFERROR(__xludf.DUMMYFUNCTION("""COMPUTED_VALUE"""),109.26)</f>
        <v>109.26</v>
      </c>
      <c r="C1245" s="1">
        <f>IFERROR(__xludf.DUMMYFUNCTION("""COMPUTED_VALUE"""),109.26)</f>
        <v>109.26</v>
      </c>
      <c r="D1245" s="1">
        <f>IFERROR(__xludf.DUMMYFUNCTION("""COMPUTED_VALUE"""),106.82)</f>
        <v>106.82</v>
      </c>
      <c r="E1245" s="1">
        <f>IFERROR(__xludf.DUMMYFUNCTION("""COMPUTED_VALUE"""),107.08)</f>
        <v>107.08</v>
      </c>
      <c r="F1245" s="1">
        <f>IFERROR(__xludf.DUMMYFUNCTION("""COMPUTED_VALUE"""),55097.0)</f>
        <v>55097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IFERROR(__xludf.DUMMYFUNCTION("""COMPUTED_VALUE"""),105.7)</f>
        <v>105.7</v>
      </c>
      <c r="C1246" s="1">
        <f>IFERROR(__xludf.DUMMYFUNCTION("""COMPUTED_VALUE"""),109.65)</f>
        <v>109.65</v>
      </c>
      <c r="D1246" s="1">
        <f>IFERROR(__xludf.DUMMYFUNCTION("""COMPUTED_VALUE"""),105.7)</f>
        <v>105.7</v>
      </c>
      <c r="E1246" s="1">
        <f>IFERROR(__xludf.DUMMYFUNCTION("""COMPUTED_VALUE"""),108.45)</f>
        <v>108.45</v>
      </c>
      <c r="F1246" s="1">
        <f>IFERROR(__xludf.DUMMYFUNCTION("""COMPUTED_VALUE"""),41175.0)</f>
        <v>41175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IFERROR(__xludf.DUMMYFUNCTION("""COMPUTED_VALUE"""),107.81)</f>
        <v>107.81</v>
      </c>
      <c r="C1247" s="1">
        <f>IFERROR(__xludf.DUMMYFUNCTION("""COMPUTED_VALUE"""),108.09)</f>
        <v>108.09</v>
      </c>
      <c r="D1247" s="1">
        <f>IFERROR(__xludf.DUMMYFUNCTION("""COMPUTED_VALUE"""),105.77)</f>
        <v>105.77</v>
      </c>
      <c r="E1247" s="1">
        <f>IFERROR(__xludf.DUMMYFUNCTION("""COMPUTED_VALUE"""),106.11)</f>
        <v>106.11</v>
      </c>
      <c r="F1247" s="1">
        <f>IFERROR(__xludf.DUMMYFUNCTION("""COMPUTED_VALUE"""),42982.0)</f>
        <v>42982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IFERROR(__xludf.DUMMYFUNCTION("""COMPUTED_VALUE"""),106.95)</f>
        <v>106.95</v>
      </c>
      <c r="C1248" s="1">
        <f>IFERROR(__xludf.DUMMYFUNCTION("""COMPUTED_VALUE"""),106.95)</f>
        <v>106.95</v>
      </c>
      <c r="D1248" s="1">
        <f>IFERROR(__xludf.DUMMYFUNCTION("""COMPUTED_VALUE"""),103.24)</f>
        <v>103.24</v>
      </c>
      <c r="E1248" s="1">
        <f>IFERROR(__xludf.DUMMYFUNCTION("""COMPUTED_VALUE"""),105.52)</f>
        <v>105.52</v>
      </c>
      <c r="F1248" s="1">
        <f>IFERROR(__xludf.DUMMYFUNCTION("""COMPUTED_VALUE"""),96001.0)</f>
        <v>96001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IFERROR(__xludf.DUMMYFUNCTION("""COMPUTED_VALUE"""),106.22)</f>
        <v>106.22</v>
      </c>
      <c r="C1249" s="1">
        <f>IFERROR(__xludf.DUMMYFUNCTION("""COMPUTED_VALUE"""),112.74)</f>
        <v>112.74</v>
      </c>
      <c r="D1249" s="1">
        <f>IFERROR(__xludf.DUMMYFUNCTION("""COMPUTED_VALUE"""),104.0)</f>
        <v>104</v>
      </c>
      <c r="E1249" s="1">
        <f>IFERROR(__xludf.DUMMYFUNCTION("""COMPUTED_VALUE"""),104.8)</f>
        <v>104.8</v>
      </c>
      <c r="F1249" s="1">
        <f>IFERROR(__xludf.DUMMYFUNCTION("""COMPUTED_VALUE"""),69205.0)</f>
        <v>69205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IFERROR(__xludf.DUMMYFUNCTION("""COMPUTED_VALUE"""),105.01)</f>
        <v>105.01</v>
      </c>
      <c r="C1250" s="1">
        <f>IFERROR(__xludf.DUMMYFUNCTION("""COMPUTED_VALUE"""),108.1)</f>
        <v>108.1</v>
      </c>
      <c r="D1250" s="1">
        <f>IFERROR(__xludf.DUMMYFUNCTION("""COMPUTED_VALUE"""),104.26)</f>
        <v>104.26</v>
      </c>
      <c r="E1250" s="1">
        <f>IFERROR(__xludf.DUMMYFUNCTION("""COMPUTED_VALUE"""),107.98)</f>
        <v>107.98</v>
      </c>
      <c r="F1250" s="1">
        <f>IFERROR(__xludf.DUMMYFUNCTION("""COMPUTED_VALUE"""),53478.0)</f>
        <v>53478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IFERROR(__xludf.DUMMYFUNCTION("""COMPUTED_VALUE"""),108.88)</f>
        <v>108.88</v>
      </c>
      <c r="C1251" s="1">
        <f>IFERROR(__xludf.DUMMYFUNCTION("""COMPUTED_VALUE"""),109.14)</f>
        <v>109.14</v>
      </c>
      <c r="D1251" s="1">
        <f>IFERROR(__xludf.DUMMYFUNCTION("""COMPUTED_VALUE"""),106.99)</f>
        <v>106.99</v>
      </c>
      <c r="E1251" s="1">
        <f>IFERROR(__xludf.DUMMYFUNCTION("""COMPUTED_VALUE"""),108.98)</f>
        <v>108.98</v>
      </c>
      <c r="F1251" s="1">
        <f>IFERROR(__xludf.DUMMYFUNCTION("""COMPUTED_VALUE"""),35948.0)</f>
        <v>35948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IFERROR(__xludf.DUMMYFUNCTION("""COMPUTED_VALUE"""),109.07)</f>
        <v>109.07</v>
      </c>
      <c r="C1252" s="1">
        <f>IFERROR(__xludf.DUMMYFUNCTION("""COMPUTED_VALUE"""),109.08)</f>
        <v>109.08</v>
      </c>
      <c r="D1252" s="1">
        <f>IFERROR(__xludf.DUMMYFUNCTION("""COMPUTED_VALUE"""),106.75)</f>
        <v>106.75</v>
      </c>
      <c r="E1252" s="1">
        <f>IFERROR(__xludf.DUMMYFUNCTION("""COMPUTED_VALUE"""),107.18)</f>
        <v>107.18</v>
      </c>
      <c r="F1252" s="1">
        <f>IFERROR(__xludf.DUMMYFUNCTION("""COMPUTED_VALUE"""),205861.0)</f>
        <v>205861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IFERROR(__xludf.DUMMYFUNCTION("""COMPUTED_VALUE"""),108.59)</f>
        <v>108.59</v>
      </c>
      <c r="C1253" s="1">
        <f>IFERROR(__xludf.DUMMYFUNCTION("""COMPUTED_VALUE"""),108.98)</f>
        <v>108.98</v>
      </c>
      <c r="D1253" s="1">
        <f>IFERROR(__xludf.DUMMYFUNCTION("""COMPUTED_VALUE"""),106.36)</f>
        <v>106.36</v>
      </c>
      <c r="E1253" s="1">
        <f>IFERROR(__xludf.DUMMYFUNCTION("""COMPUTED_VALUE"""),108.98)</f>
        <v>108.98</v>
      </c>
      <c r="F1253" s="1">
        <f>IFERROR(__xludf.DUMMYFUNCTION("""COMPUTED_VALUE"""),25514.0)</f>
        <v>25514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IFERROR(__xludf.DUMMYFUNCTION("""COMPUTED_VALUE"""),108.27)</f>
        <v>108.27</v>
      </c>
      <c r="C1254" s="1">
        <f>IFERROR(__xludf.DUMMYFUNCTION("""COMPUTED_VALUE"""),110.91)</f>
        <v>110.91</v>
      </c>
      <c r="D1254" s="1">
        <f>IFERROR(__xludf.DUMMYFUNCTION("""COMPUTED_VALUE"""),108.26)</f>
        <v>108.26</v>
      </c>
      <c r="E1254" s="1">
        <f>IFERROR(__xludf.DUMMYFUNCTION("""COMPUTED_VALUE"""),110.31)</f>
        <v>110.31</v>
      </c>
      <c r="F1254" s="1">
        <f>IFERROR(__xludf.DUMMYFUNCTION("""COMPUTED_VALUE"""),43241.0)</f>
        <v>43241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IFERROR(__xludf.DUMMYFUNCTION("""COMPUTED_VALUE"""),110.65)</f>
        <v>110.65</v>
      </c>
      <c r="C1255" s="1">
        <f>IFERROR(__xludf.DUMMYFUNCTION("""COMPUTED_VALUE"""),110.69)</f>
        <v>110.69</v>
      </c>
      <c r="D1255" s="1">
        <f>IFERROR(__xludf.DUMMYFUNCTION("""COMPUTED_VALUE"""),108.88)</f>
        <v>108.88</v>
      </c>
      <c r="E1255" s="1">
        <f>IFERROR(__xludf.DUMMYFUNCTION("""COMPUTED_VALUE"""),109.2)</f>
        <v>109.2</v>
      </c>
      <c r="F1255" s="1">
        <f>IFERROR(__xludf.DUMMYFUNCTION("""COMPUTED_VALUE"""),33557.0)</f>
        <v>33557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IFERROR(__xludf.DUMMYFUNCTION("""COMPUTED_VALUE"""),108.88)</f>
        <v>108.88</v>
      </c>
      <c r="C1256" s="1">
        <f>IFERROR(__xludf.DUMMYFUNCTION("""COMPUTED_VALUE"""),111.05)</f>
        <v>111.05</v>
      </c>
      <c r="D1256" s="1">
        <f>IFERROR(__xludf.DUMMYFUNCTION("""COMPUTED_VALUE"""),108.81)</f>
        <v>108.81</v>
      </c>
      <c r="E1256" s="1">
        <f>IFERROR(__xludf.DUMMYFUNCTION("""COMPUTED_VALUE"""),110.35)</f>
        <v>110.35</v>
      </c>
      <c r="F1256" s="1">
        <f>IFERROR(__xludf.DUMMYFUNCTION("""COMPUTED_VALUE"""),31428.0)</f>
        <v>31428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IFERROR(__xludf.DUMMYFUNCTION("""COMPUTED_VALUE"""),110.05)</f>
        <v>110.05</v>
      </c>
      <c r="C1257" s="1">
        <f>IFERROR(__xludf.DUMMYFUNCTION("""COMPUTED_VALUE"""),111.69)</f>
        <v>111.69</v>
      </c>
      <c r="D1257" s="1">
        <f>IFERROR(__xludf.DUMMYFUNCTION("""COMPUTED_VALUE"""),109.44)</f>
        <v>109.44</v>
      </c>
      <c r="E1257" s="1">
        <f>IFERROR(__xludf.DUMMYFUNCTION("""COMPUTED_VALUE"""),111.51)</f>
        <v>111.51</v>
      </c>
      <c r="F1257" s="1">
        <f>IFERROR(__xludf.DUMMYFUNCTION("""COMPUTED_VALUE"""),36414.0)</f>
        <v>36414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IFERROR(__xludf.DUMMYFUNCTION("""COMPUTED_VALUE"""),111.46)</f>
        <v>111.46</v>
      </c>
      <c r="C1258" s="1">
        <f>IFERROR(__xludf.DUMMYFUNCTION("""COMPUTED_VALUE"""),111.82)</f>
        <v>111.82</v>
      </c>
      <c r="D1258" s="1">
        <f>IFERROR(__xludf.DUMMYFUNCTION("""COMPUTED_VALUE"""),109.94)</f>
        <v>109.94</v>
      </c>
      <c r="E1258" s="1">
        <f>IFERROR(__xludf.DUMMYFUNCTION("""COMPUTED_VALUE"""),110.07)</f>
        <v>110.07</v>
      </c>
      <c r="F1258" s="1">
        <f>IFERROR(__xludf.DUMMYFUNCTION("""COMPUTED_VALUE"""),20797.0)</f>
        <v>20797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IFERROR(__xludf.DUMMYFUNCTION("""COMPUTED_VALUE"""),109.82)</f>
        <v>109.82</v>
      </c>
      <c r="C1259" s="1">
        <f>IFERROR(__xludf.DUMMYFUNCTION("""COMPUTED_VALUE"""),110.71)</f>
        <v>110.71</v>
      </c>
      <c r="D1259" s="1">
        <f>IFERROR(__xludf.DUMMYFUNCTION("""COMPUTED_VALUE"""),108.14)</f>
        <v>108.14</v>
      </c>
      <c r="E1259" s="1">
        <f>IFERROR(__xludf.DUMMYFUNCTION("""COMPUTED_VALUE"""),108.77)</f>
        <v>108.77</v>
      </c>
      <c r="F1259" s="1">
        <f>IFERROR(__xludf.DUMMYFUNCTION("""COMPUTED_VALUE"""),63558.0)</f>
        <v>63558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IFERROR(__xludf.DUMMYFUNCTION("""COMPUTED_VALUE"""),109.45)</f>
        <v>109.45</v>
      </c>
      <c r="C1260" s="1">
        <f>IFERROR(__xludf.DUMMYFUNCTION("""COMPUTED_VALUE"""),109.45)</f>
        <v>109.45</v>
      </c>
      <c r="D1260" s="1">
        <f>IFERROR(__xludf.DUMMYFUNCTION("""COMPUTED_VALUE"""),106.81)</f>
        <v>106.81</v>
      </c>
      <c r="E1260" s="1">
        <f>IFERROR(__xludf.DUMMYFUNCTION("""COMPUTED_VALUE"""),107.69)</f>
        <v>107.69</v>
      </c>
      <c r="F1260" s="1">
        <f>IFERROR(__xludf.DUMMYFUNCTION("""COMPUTED_VALUE"""),88837.0)</f>
        <v>88837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IFERROR(__xludf.DUMMYFUNCTION("""COMPUTED_VALUE"""),108.06)</f>
        <v>108.06</v>
      </c>
      <c r="C1261" s="1">
        <f>IFERROR(__xludf.DUMMYFUNCTION("""COMPUTED_VALUE"""),108.43)</f>
        <v>108.43</v>
      </c>
      <c r="D1261" s="1">
        <f>IFERROR(__xludf.DUMMYFUNCTION("""COMPUTED_VALUE"""),106.76)</f>
        <v>106.76</v>
      </c>
      <c r="E1261" s="1">
        <f>IFERROR(__xludf.DUMMYFUNCTION("""COMPUTED_VALUE"""),107.24)</f>
        <v>107.24</v>
      </c>
      <c r="F1261" s="1">
        <f>IFERROR(__xludf.DUMMYFUNCTION("""COMPUTED_VALUE"""),61805.0)</f>
        <v>61805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IFERROR(__xludf.DUMMYFUNCTION("""COMPUTED_VALUE"""),107.84)</f>
        <v>107.84</v>
      </c>
      <c r="C1262" s="1">
        <f>IFERROR(__xludf.DUMMYFUNCTION("""COMPUTED_VALUE"""),108.69)</f>
        <v>108.69</v>
      </c>
      <c r="D1262" s="1">
        <f>IFERROR(__xludf.DUMMYFUNCTION("""COMPUTED_VALUE"""),106.19)</f>
        <v>106.19</v>
      </c>
      <c r="E1262" s="1">
        <f>IFERROR(__xludf.DUMMYFUNCTION("""COMPUTED_VALUE"""),107.27)</f>
        <v>107.27</v>
      </c>
      <c r="F1262" s="1">
        <f>IFERROR(__xludf.DUMMYFUNCTION("""COMPUTED_VALUE"""),80455.0)</f>
        <v>80455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IFERROR(__xludf.DUMMYFUNCTION("""COMPUTED_VALUE"""),106.5)</f>
        <v>106.5</v>
      </c>
      <c r="C1263" s="1">
        <f>IFERROR(__xludf.DUMMYFUNCTION("""COMPUTED_VALUE"""),108.77)</f>
        <v>108.77</v>
      </c>
      <c r="D1263" s="1">
        <f>IFERROR(__xludf.DUMMYFUNCTION("""COMPUTED_VALUE"""),106.5)</f>
        <v>106.5</v>
      </c>
      <c r="E1263" s="1">
        <f>IFERROR(__xludf.DUMMYFUNCTION("""COMPUTED_VALUE"""),108.73)</f>
        <v>108.73</v>
      </c>
      <c r="F1263" s="1">
        <f>IFERROR(__xludf.DUMMYFUNCTION("""COMPUTED_VALUE"""),58792.0)</f>
        <v>58792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IFERROR(__xludf.DUMMYFUNCTION("""COMPUTED_VALUE"""),109.24)</f>
        <v>109.24</v>
      </c>
      <c r="C1264" s="1">
        <f>IFERROR(__xludf.DUMMYFUNCTION("""COMPUTED_VALUE"""),111.28)</f>
        <v>111.28</v>
      </c>
      <c r="D1264" s="1">
        <f>IFERROR(__xludf.DUMMYFUNCTION("""COMPUTED_VALUE"""),109.11)</f>
        <v>109.11</v>
      </c>
      <c r="E1264" s="1">
        <f>IFERROR(__xludf.DUMMYFUNCTION("""COMPUTED_VALUE"""),110.32)</f>
        <v>110.32</v>
      </c>
      <c r="F1264" s="1">
        <f>IFERROR(__xludf.DUMMYFUNCTION("""COMPUTED_VALUE"""),56302.0)</f>
        <v>56302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IFERROR(__xludf.DUMMYFUNCTION("""COMPUTED_VALUE"""),111.03)</f>
        <v>111.03</v>
      </c>
      <c r="C1265" s="1">
        <f>IFERROR(__xludf.DUMMYFUNCTION("""COMPUTED_VALUE"""),111.03)</f>
        <v>111.03</v>
      </c>
      <c r="D1265" s="1">
        <f>IFERROR(__xludf.DUMMYFUNCTION("""COMPUTED_VALUE"""),109.88)</f>
        <v>109.88</v>
      </c>
      <c r="E1265" s="1">
        <f>IFERROR(__xludf.DUMMYFUNCTION("""COMPUTED_VALUE"""),110.1)</f>
        <v>110.1</v>
      </c>
      <c r="F1265" s="1">
        <f>IFERROR(__xludf.DUMMYFUNCTION("""COMPUTED_VALUE"""),59216.0)</f>
        <v>59216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IFERROR(__xludf.DUMMYFUNCTION("""COMPUTED_VALUE"""),110.7)</f>
        <v>110.7</v>
      </c>
      <c r="C1266" s="1">
        <f>IFERROR(__xludf.DUMMYFUNCTION("""COMPUTED_VALUE"""),110.7)</f>
        <v>110.7</v>
      </c>
      <c r="D1266" s="1">
        <f>IFERROR(__xludf.DUMMYFUNCTION("""COMPUTED_VALUE"""),108.83)</f>
        <v>108.83</v>
      </c>
      <c r="E1266" s="1">
        <f>IFERROR(__xludf.DUMMYFUNCTION("""COMPUTED_VALUE"""),109.09)</f>
        <v>109.09</v>
      </c>
      <c r="F1266" s="1">
        <f>IFERROR(__xludf.DUMMYFUNCTION("""COMPUTED_VALUE"""),55175.0)</f>
        <v>55175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IFERROR(__xludf.DUMMYFUNCTION("""COMPUTED_VALUE"""),109.0)</f>
        <v>109</v>
      </c>
      <c r="C1267" s="1">
        <f>IFERROR(__xludf.DUMMYFUNCTION("""COMPUTED_VALUE"""),111.74)</f>
        <v>111.74</v>
      </c>
      <c r="D1267" s="1">
        <f>IFERROR(__xludf.DUMMYFUNCTION("""COMPUTED_VALUE"""),109.0)</f>
        <v>109</v>
      </c>
      <c r="E1267" s="1">
        <f>IFERROR(__xludf.DUMMYFUNCTION("""COMPUTED_VALUE"""),111.02)</f>
        <v>111.02</v>
      </c>
      <c r="F1267" s="1">
        <f>IFERROR(__xludf.DUMMYFUNCTION("""COMPUTED_VALUE"""),67110.0)</f>
        <v>67110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IFERROR(__xludf.DUMMYFUNCTION("""COMPUTED_VALUE"""),108.79)</f>
        <v>108.79</v>
      </c>
      <c r="C1268" s="1">
        <f>IFERROR(__xludf.DUMMYFUNCTION("""COMPUTED_VALUE"""),111.99)</f>
        <v>111.99</v>
      </c>
      <c r="D1268" s="1">
        <f>IFERROR(__xludf.DUMMYFUNCTION("""COMPUTED_VALUE"""),108.79)</f>
        <v>108.79</v>
      </c>
      <c r="E1268" s="1">
        <f>IFERROR(__xludf.DUMMYFUNCTION("""COMPUTED_VALUE"""),111.6)</f>
        <v>111.6</v>
      </c>
      <c r="F1268" s="1">
        <f>IFERROR(__xludf.DUMMYFUNCTION("""COMPUTED_VALUE"""),81825.0)</f>
        <v>81825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IFERROR(__xludf.DUMMYFUNCTION("""COMPUTED_VALUE"""),112.18)</f>
        <v>112.18</v>
      </c>
      <c r="C1269" s="1">
        <f>IFERROR(__xludf.DUMMYFUNCTION("""COMPUTED_VALUE"""),112.89)</f>
        <v>112.89</v>
      </c>
      <c r="D1269" s="1">
        <f>IFERROR(__xludf.DUMMYFUNCTION("""COMPUTED_VALUE"""),111.54)</f>
        <v>111.54</v>
      </c>
      <c r="E1269" s="1">
        <f>IFERROR(__xludf.DUMMYFUNCTION("""COMPUTED_VALUE"""),112.07)</f>
        <v>112.07</v>
      </c>
      <c r="F1269" s="1">
        <f>IFERROR(__xludf.DUMMYFUNCTION("""COMPUTED_VALUE"""),57285.0)</f>
        <v>57285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IFERROR(__xludf.DUMMYFUNCTION("""COMPUTED_VALUE"""),111.67)</f>
        <v>111.67</v>
      </c>
      <c r="C1270" s="1">
        <f>IFERROR(__xludf.DUMMYFUNCTION("""COMPUTED_VALUE"""),112.98)</f>
        <v>112.98</v>
      </c>
      <c r="D1270" s="1">
        <f>IFERROR(__xludf.DUMMYFUNCTION("""COMPUTED_VALUE"""),111.13)</f>
        <v>111.13</v>
      </c>
      <c r="E1270" s="1">
        <f>IFERROR(__xludf.DUMMYFUNCTION("""COMPUTED_VALUE"""),112.96)</f>
        <v>112.96</v>
      </c>
      <c r="F1270" s="1">
        <f>IFERROR(__xludf.DUMMYFUNCTION("""COMPUTED_VALUE"""),54392.0)</f>
        <v>54392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IFERROR(__xludf.DUMMYFUNCTION("""COMPUTED_VALUE"""),114.62)</f>
        <v>114.62</v>
      </c>
      <c r="C1271" s="1">
        <f>IFERROR(__xludf.DUMMYFUNCTION("""COMPUTED_VALUE"""),114.62)</f>
        <v>114.62</v>
      </c>
      <c r="D1271" s="1">
        <f>IFERROR(__xludf.DUMMYFUNCTION("""COMPUTED_VALUE"""),111.19)</f>
        <v>111.19</v>
      </c>
      <c r="E1271" s="1">
        <f>IFERROR(__xludf.DUMMYFUNCTION("""COMPUTED_VALUE"""),113.23)</f>
        <v>113.23</v>
      </c>
      <c r="F1271" s="1">
        <f>IFERROR(__xludf.DUMMYFUNCTION("""COMPUTED_VALUE"""),46028.0)</f>
        <v>46028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IFERROR(__xludf.DUMMYFUNCTION("""COMPUTED_VALUE"""),113.23)</f>
        <v>113.23</v>
      </c>
      <c r="C1272" s="1">
        <f>IFERROR(__xludf.DUMMYFUNCTION("""COMPUTED_VALUE"""),115.46)</f>
        <v>115.46</v>
      </c>
      <c r="D1272" s="1">
        <f>IFERROR(__xludf.DUMMYFUNCTION("""COMPUTED_VALUE"""),111.47)</f>
        <v>111.47</v>
      </c>
      <c r="E1272" s="1">
        <f>IFERROR(__xludf.DUMMYFUNCTION("""COMPUTED_VALUE"""),111.79)</f>
        <v>111.79</v>
      </c>
      <c r="F1272" s="1">
        <f>IFERROR(__xludf.DUMMYFUNCTION("""COMPUTED_VALUE"""),45092.0)</f>
        <v>45092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IFERROR(__xludf.DUMMYFUNCTION("""COMPUTED_VALUE"""),112.57)</f>
        <v>112.57</v>
      </c>
      <c r="C1273" s="1">
        <f>IFERROR(__xludf.DUMMYFUNCTION("""COMPUTED_VALUE"""),114.99)</f>
        <v>114.99</v>
      </c>
      <c r="D1273" s="1">
        <f>IFERROR(__xludf.DUMMYFUNCTION("""COMPUTED_VALUE"""),110.77)</f>
        <v>110.77</v>
      </c>
      <c r="E1273" s="1">
        <f>IFERROR(__xludf.DUMMYFUNCTION("""COMPUTED_VALUE"""),114.83)</f>
        <v>114.83</v>
      </c>
      <c r="F1273" s="1">
        <f>IFERROR(__xludf.DUMMYFUNCTION("""COMPUTED_VALUE"""),44919.0)</f>
        <v>44919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IFERROR(__xludf.DUMMYFUNCTION("""COMPUTED_VALUE"""),111.15)</f>
        <v>111.15</v>
      </c>
      <c r="C1274" s="1">
        <f>IFERROR(__xludf.DUMMYFUNCTION("""COMPUTED_VALUE"""),115.63)</f>
        <v>115.63</v>
      </c>
      <c r="D1274" s="1">
        <f>IFERROR(__xludf.DUMMYFUNCTION("""COMPUTED_VALUE"""),111.15)</f>
        <v>111.15</v>
      </c>
      <c r="E1274" s="1">
        <f>IFERROR(__xludf.DUMMYFUNCTION("""COMPUTED_VALUE"""),114.63)</f>
        <v>114.63</v>
      </c>
      <c r="F1274" s="1">
        <f>IFERROR(__xludf.DUMMYFUNCTION("""COMPUTED_VALUE"""),47137.0)</f>
        <v>47137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IFERROR(__xludf.DUMMYFUNCTION("""COMPUTED_VALUE"""),114.61)</f>
        <v>114.61</v>
      </c>
      <c r="C1275" s="1">
        <f>IFERROR(__xludf.DUMMYFUNCTION("""COMPUTED_VALUE"""),115.11)</f>
        <v>115.11</v>
      </c>
      <c r="D1275" s="1">
        <f>IFERROR(__xludf.DUMMYFUNCTION("""COMPUTED_VALUE"""),113.36)</f>
        <v>113.36</v>
      </c>
      <c r="E1275" s="1">
        <f>IFERROR(__xludf.DUMMYFUNCTION("""COMPUTED_VALUE"""),114.62)</f>
        <v>114.62</v>
      </c>
      <c r="F1275" s="1">
        <f>IFERROR(__xludf.DUMMYFUNCTION("""COMPUTED_VALUE"""),79476.0)</f>
        <v>79476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IFERROR(__xludf.DUMMYFUNCTION("""COMPUTED_VALUE"""),99.69)</f>
        <v>99.69</v>
      </c>
      <c r="C1276" s="1">
        <f>IFERROR(__xludf.DUMMYFUNCTION("""COMPUTED_VALUE"""),103.0)</f>
        <v>103</v>
      </c>
      <c r="D1276" s="1">
        <f>IFERROR(__xludf.DUMMYFUNCTION("""COMPUTED_VALUE"""),96.53)</f>
        <v>96.53</v>
      </c>
      <c r="E1276" s="1">
        <f>IFERROR(__xludf.DUMMYFUNCTION("""COMPUTED_VALUE"""),98.53)</f>
        <v>98.53</v>
      </c>
      <c r="F1276" s="1">
        <f>IFERROR(__xludf.DUMMYFUNCTION("""COMPUTED_VALUE"""),257865.0)</f>
        <v>257865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IFERROR(__xludf.DUMMYFUNCTION("""COMPUTED_VALUE"""),100.58)</f>
        <v>100.58</v>
      </c>
      <c r="C1277" s="1">
        <f>IFERROR(__xludf.DUMMYFUNCTION("""COMPUTED_VALUE"""),101.65)</f>
        <v>101.65</v>
      </c>
      <c r="D1277" s="1">
        <f>IFERROR(__xludf.DUMMYFUNCTION("""COMPUTED_VALUE"""),97.62)</f>
        <v>97.62</v>
      </c>
      <c r="E1277" s="1">
        <f>IFERROR(__xludf.DUMMYFUNCTION("""COMPUTED_VALUE"""),101.54)</f>
        <v>101.54</v>
      </c>
      <c r="F1277" s="1">
        <f>IFERROR(__xludf.DUMMYFUNCTION("""COMPUTED_VALUE"""),147504.0)</f>
        <v>147504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IFERROR(__xludf.DUMMYFUNCTION("""COMPUTED_VALUE"""),101.95)</f>
        <v>101.95</v>
      </c>
      <c r="C1278" s="1">
        <f>IFERROR(__xludf.DUMMYFUNCTION("""COMPUTED_VALUE"""),101.95)</f>
        <v>101.95</v>
      </c>
      <c r="D1278" s="1">
        <f>IFERROR(__xludf.DUMMYFUNCTION("""COMPUTED_VALUE"""),99.64)</f>
        <v>99.64</v>
      </c>
      <c r="E1278" s="1">
        <f>IFERROR(__xludf.DUMMYFUNCTION("""COMPUTED_VALUE"""),100.92)</f>
        <v>100.92</v>
      </c>
      <c r="F1278" s="1">
        <f>IFERROR(__xludf.DUMMYFUNCTION("""COMPUTED_VALUE"""),91533.0)</f>
        <v>91533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IFERROR(__xludf.DUMMYFUNCTION("""COMPUTED_VALUE"""),102.7)</f>
        <v>102.7</v>
      </c>
      <c r="C1279" s="1">
        <f>IFERROR(__xludf.DUMMYFUNCTION("""COMPUTED_VALUE"""),102.7)</f>
        <v>102.7</v>
      </c>
      <c r="D1279" s="1">
        <f>IFERROR(__xludf.DUMMYFUNCTION("""COMPUTED_VALUE"""),97.86)</f>
        <v>97.86</v>
      </c>
      <c r="E1279" s="1">
        <f>IFERROR(__xludf.DUMMYFUNCTION("""COMPUTED_VALUE"""),98.12)</f>
        <v>98.12</v>
      </c>
      <c r="F1279" s="1">
        <f>IFERROR(__xludf.DUMMYFUNCTION("""COMPUTED_VALUE"""),103662.0)</f>
        <v>103662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IFERROR(__xludf.DUMMYFUNCTION("""COMPUTED_VALUE"""),98.05)</f>
        <v>98.05</v>
      </c>
      <c r="C1280" s="1">
        <f>IFERROR(__xludf.DUMMYFUNCTION("""COMPUTED_VALUE"""),99.65)</f>
        <v>99.65</v>
      </c>
      <c r="D1280" s="1">
        <f>IFERROR(__xludf.DUMMYFUNCTION("""COMPUTED_VALUE"""),97.8)</f>
        <v>97.8</v>
      </c>
      <c r="E1280" s="1">
        <f>IFERROR(__xludf.DUMMYFUNCTION("""COMPUTED_VALUE"""),99.4)</f>
        <v>99.4</v>
      </c>
      <c r="F1280" s="1">
        <f>IFERROR(__xludf.DUMMYFUNCTION("""COMPUTED_VALUE"""),67862.0)</f>
        <v>67862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IFERROR(__xludf.DUMMYFUNCTION("""COMPUTED_VALUE"""),100.08)</f>
        <v>100.08</v>
      </c>
      <c r="C1281" s="1">
        <f>IFERROR(__xludf.DUMMYFUNCTION("""COMPUTED_VALUE"""),100.71)</f>
        <v>100.71</v>
      </c>
      <c r="D1281" s="1">
        <f>IFERROR(__xludf.DUMMYFUNCTION("""COMPUTED_VALUE"""),97.85)</f>
        <v>97.85</v>
      </c>
      <c r="E1281" s="1">
        <f>IFERROR(__xludf.DUMMYFUNCTION("""COMPUTED_VALUE"""),99.97)</f>
        <v>99.97</v>
      </c>
      <c r="F1281" s="1">
        <f>IFERROR(__xludf.DUMMYFUNCTION("""COMPUTED_VALUE"""),94650.0)</f>
        <v>94650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IFERROR(__xludf.DUMMYFUNCTION("""COMPUTED_VALUE"""),99.1)</f>
        <v>99.1</v>
      </c>
      <c r="C1282" s="1">
        <f>IFERROR(__xludf.DUMMYFUNCTION("""COMPUTED_VALUE"""),101.25)</f>
        <v>101.25</v>
      </c>
      <c r="D1282" s="1">
        <f>IFERROR(__xludf.DUMMYFUNCTION("""COMPUTED_VALUE"""),99.06)</f>
        <v>99.06</v>
      </c>
      <c r="E1282" s="1">
        <f>IFERROR(__xludf.DUMMYFUNCTION("""COMPUTED_VALUE"""),99.89)</f>
        <v>99.89</v>
      </c>
      <c r="F1282" s="1">
        <f>IFERROR(__xludf.DUMMYFUNCTION("""COMPUTED_VALUE"""),73198.0)</f>
        <v>73198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IFERROR(__xludf.DUMMYFUNCTION("""COMPUTED_VALUE"""),99.9)</f>
        <v>99.9</v>
      </c>
      <c r="C1283" s="1">
        <f>IFERROR(__xludf.DUMMYFUNCTION("""COMPUTED_VALUE"""),101.47)</f>
        <v>101.47</v>
      </c>
      <c r="D1283" s="1">
        <f>IFERROR(__xludf.DUMMYFUNCTION("""COMPUTED_VALUE"""),98.2)</f>
        <v>98.2</v>
      </c>
      <c r="E1283" s="1">
        <f>IFERROR(__xludf.DUMMYFUNCTION("""COMPUTED_VALUE"""),99.57)</f>
        <v>99.57</v>
      </c>
      <c r="F1283" s="1">
        <f>IFERROR(__xludf.DUMMYFUNCTION("""COMPUTED_VALUE"""),114680.0)</f>
        <v>114680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IFERROR(__xludf.DUMMYFUNCTION("""COMPUTED_VALUE"""),100.45)</f>
        <v>100.45</v>
      </c>
      <c r="C1284" s="1">
        <f>IFERROR(__xludf.DUMMYFUNCTION("""COMPUTED_VALUE"""),100.89)</f>
        <v>100.89</v>
      </c>
      <c r="D1284" s="1">
        <f>IFERROR(__xludf.DUMMYFUNCTION("""COMPUTED_VALUE"""),98.86)</f>
        <v>98.86</v>
      </c>
      <c r="E1284" s="1">
        <f>IFERROR(__xludf.DUMMYFUNCTION("""COMPUTED_VALUE"""),99.6)</f>
        <v>99.6</v>
      </c>
      <c r="F1284" s="1">
        <f>IFERROR(__xludf.DUMMYFUNCTION("""COMPUTED_VALUE"""),73598.0)</f>
        <v>73598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IFERROR(__xludf.DUMMYFUNCTION("""COMPUTED_VALUE"""),98.9)</f>
        <v>98.9</v>
      </c>
      <c r="C1285" s="1">
        <f>IFERROR(__xludf.DUMMYFUNCTION("""COMPUTED_VALUE"""),100.38)</f>
        <v>100.38</v>
      </c>
      <c r="D1285" s="1">
        <f>IFERROR(__xludf.DUMMYFUNCTION("""COMPUTED_VALUE"""),98.33)</f>
        <v>98.33</v>
      </c>
      <c r="E1285" s="1">
        <f>IFERROR(__xludf.DUMMYFUNCTION("""COMPUTED_VALUE"""),98.58)</f>
        <v>98.58</v>
      </c>
      <c r="F1285" s="1">
        <f>IFERROR(__xludf.DUMMYFUNCTION("""COMPUTED_VALUE"""),38396.0)</f>
        <v>38396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IFERROR(__xludf.DUMMYFUNCTION("""COMPUTED_VALUE"""),98.75)</f>
        <v>98.75</v>
      </c>
      <c r="C1286" s="1">
        <f>IFERROR(__xludf.DUMMYFUNCTION("""COMPUTED_VALUE"""),100.36)</f>
        <v>100.36</v>
      </c>
      <c r="D1286" s="1">
        <f>IFERROR(__xludf.DUMMYFUNCTION("""COMPUTED_VALUE"""),98.32)</f>
        <v>98.32</v>
      </c>
      <c r="E1286" s="1">
        <f>IFERROR(__xludf.DUMMYFUNCTION("""COMPUTED_VALUE"""),100.07)</f>
        <v>100.07</v>
      </c>
      <c r="F1286" s="1">
        <f>IFERROR(__xludf.DUMMYFUNCTION("""COMPUTED_VALUE"""),76062.0)</f>
        <v>76062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IFERROR(__xludf.DUMMYFUNCTION("""COMPUTED_VALUE"""),100.53)</f>
        <v>100.53</v>
      </c>
      <c r="C1287" s="1">
        <f>IFERROR(__xludf.DUMMYFUNCTION("""COMPUTED_VALUE"""),100.77)</f>
        <v>100.77</v>
      </c>
      <c r="D1287" s="1">
        <f>IFERROR(__xludf.DUMMYFUNCTION("""COMPUTED_VALUE"""),98.41)</f>
        <v>98.41</v>
      </c>
      <c r="E1287" s="1">
        <f>IFERROR(__xludf.DUMMYFUNCTION("""COMPUTED_VALUE"""),99.49)</f>
        <v>99.49</v>
      </c>
      <c r="F1287" s="1">
        <f>IFERROR(__xludf.DUMMYFUNCTION("""COMPUTED_VALUE"""),29794.0)</f>
        <v>29794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IFERROR(__xludf.DUMMYFUNCTION("""COMPUTED_VALUE"""),99.69)</f>
        <v>99.69</v>
      </c>
      <c r="C1288" s="1">
        <f>IFERROR(__xludf.DUMMYFUNCTION("""COMPUTED_VALUE"""),100.64)</f>
        <v>100.64</v>
      </c>
      <c r="D1288" s="1">
        <f>IFERROR(__xludf.DUMMYFUNCTION("""COMPUTED_VALUE"""),99.52)</f>
        <v>99.52</v>
      </c>
      <c r="E1288" s="1">
        <f>IFERROR(__xludf.DUMMYFUNCTION("""COMPUTED_VALUE"""),100.52)</f>
        <v>100.52</v>
      </c>
      <c r="F1288" s="1">
        <f>IFERROR(__xludf.DUMMYFUNCTION("""COMPUTED_VALUE"""),28890.0)</f>
        <v>28890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IFERROR(__xludf.DUMMYFUNCTION("""COMPUTED_VALUE"""),99.38)</f>
        <v>99.38</v>
      </c>
      <c r="C1289" s="1">
        <f>IFERROR(__xludf.DUMMYFUNCTION("""COMPUTED_VALUE"""),100.81)</f>
        <v>100.81</v>
      </c>
      <c r="D1289" s="1">
        <f>IFERROR(__xludf.DUMMYFUNCTION("""COMPUTED_VALUE"""),98.66)</f>
        <v>98.66</v>
      </c>
      <c r="E1289" s="1">
        <f>IFERROR(__xludf.DUMMYFUNCTION("""COMPUTED_VALUE"""),100.08)</f>
        <v>100.08</v>
      </c>
      <c r="F1289" s="1">
        <f>IFERROR(__xludf.DUMMYFUNCTION("""COMPUTED_VALUE"""),56788.0)</f>
        <v>56788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IFERROR(__xludf.DUMMYFUNCTION("""COMPUTED_VALUE"""),100.2)</f>
        <v>100.2</v>
      </c>
      <c r="C1290" s="1">
        <f>IFERROR(__xludf.DUMMYFUNCTION("""COMPUTED_VALUE"""),101.65)</f>
        <v>101.65</v>
      </c>
      <c r="D1290" s="1">
        <f>IFERROR(__xludf.DUMMYFUNCTION("""COMPUTED_VALUE"""),99.14)</f>
        <v>99.14</v>
      </c>
      <c r="E1290" s="1">
        <f>IFERROR(__xludf.DUMMYFUNCTION("""COMPUTED_VALUE"""),100.76)</f>
        <v>100.76</v>
      </c>
      <c r="F1290" s="1">
        <f>IFERROR(__xludf.DUMMYFUNCTION("""COMPUTED_VALUE"""),71741.0)</f>
        <v>71741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IFERROR(__xludf.DUMMYFUNCTION("""COMPUTED_VALUE"""),100.81)</f>
        <v>100.81</v>
      </c>
      <c r="C1291" s="1">
        <f>IFERROR(__xludf.DUMMYFUNCTION("""COMPUTED_VALUE"""),101.13)</f>
        <v>101.13</v>
      </c>
      <c r="D1291" s="1">
        <f>IFERROR(__xludf.DUMMYFUNCTION("""COMPUTED_VALUE"""),99.66)</f>
        <v>99.66</v>
      </c>
      <c r="E1291" s="1">
        <f>IFERROR(__xludf.DUMMYFUNCTION("""COMPUTED_VALUE"""),100.97)</f>
        <v>100.97</v>
      </c>
      <c r="F1291" s="1">
        <f>IFERROR(__xludf.DUMMYFUNCTION("""COMPUTED_VALUE"""),43760.0)</f>
        <v>43760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IFERROR(__xludf.DUMMYFUNCTION("""COMPUTED_VALUE"""),100.41)</f>
        <v>100.41</v>
      </c>
      <c r="C1292" s="1">
        <f>IFERROR(__xludf.DUMMYFUNCTION("""COMPUTED_VALUE"""),101.47)</f>
        <v>101.47</v>
      </c>
      <c r="D1292" s="1">
        <f>IFERROR(__xludf.DUMMYFUNCTION("""COMPUTED_VALUE"""),100.3)</f>
        <v>100.3</v>
      </c>
      <c r="E1292" s="1">
        <f>IFERROR(__xludf.DUMMYFUNCTION("""COMPUTED_VALUE"""),100.68)</f>
        <v>100.68</v>
      </c>
      <c r="F1292" s="1">
        <f>IFERROR(__xludf.DUMMYFUNCTION("""COMPUTED_VALUE"""),29986.0)</f>
        <v>29986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IFERROR(__xludf.DUMMYFUNCTION("""COMPUTED_VALUE"""),99.56)</f>
        <v>99.56</v>
      </c>
      <c r="C1293" s="1">
        <f>IFERROR(__xludf.DUMMYFUNCTION("""COMPUTED_VALUE"""),101.1)</f>
        <v>101.1</v>
      </c>
      <c r="D1293" s="1">
        <f>IFERROR(__xludf.DUMMYFUNCTION("""COMPUTED_VALUE"""),99.02)</f>
        <v>99.02</v>
      </c>
      <c r="E1293" s="1">
        <f>IFERROR(__xludf.DUMMYFUNCTION("""COMPUTED_VALUE"""),100.45)</f>
        <v>100.45</v>
      </c>
      <c r="F1293" s="1">
        <f>IFERROR(__xludf.DUMMYFUNCTION("""COMPUTED_VALUE"""),37049.0)</f>
        <v>37049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IFERROR(__xludf.DUMMYFUNCTION("""COMPUTED_VALUE"""),99.81)</f>
        <v>99.81</v>
      </c>
      <c r="C1294" s="1">
        <f>IFERROR(__xludf.DUMMYFUNCTION("""COMPUTED_VALUE"""),101.17)</f>
        <v>101.17</v>
      </c>
      <c r="D1294" s="1">
        <f>IFERROR(__xludf.DUMMYFUNCTION("""COMPUTED_VALUE"""),99.52)</f>
        <v>99.52</v>
      </c>
      <c r="E1294" s="1">
        <f>IFERROR(__xludf.DUMMYFUNCTION("""COMPUTED_VALUE"""),100.95)</f>
        <v>100.95</v>
      </c>
      <c r="F1294" s="1">
        <f>IFERROR(__xludf.DUMMYFUNCTION("""COMPUTED_VALUE"""),45524.0)</f>
        <v>45524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IFERROR(__xludf.DUMMYFUNCTION("""COMPUTED_VALUE"""),100.67)</f>
        <v>100.67</v>
      </c>
      <c r="C1295" s="1">
        <f>IFERROR(__xludf.DUMMYFUNCTION("""COMPUTED_VALUE"""),101.72)</f>
        <v>101.72</v>
      </c>
      <c r="D1295" s="1">
        <f>IFERROR(__xludf.DUMMYFUNCTION("""COMPUTED_VALUE"""),100.38)</f>
        <v>100.38</v>
      </c>
      <c r="E1295" s="1">
        <f>IFERROR(__xludf.DUMMYFUNCTION("""COMPUTED_VALUE"""),101.27)</f>
        <v>101.27</v>
      </c>
      <c r="F1295" s="1">
        <f>IFERROR(__xludf.DUMMYFUNCTION("""COMPUTED_VALUE"""),40792.0)</f>
        <v>40792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IFERROR(__xludf.DUMMYFUNCTION("""COMPUTED_VALUE"""),100.72)</f>
        <v>100.72</v>
      </c>
      <c r="C1296" s="1">
        <f>IFERROR(__xludf.DUMMYFUNCTION("""COMPUTED_VALUE"""),101.94)</f>
        <v>101.94</v>
      </c>
      <c r="D1296" s="1">
        <f>IFERROR(__xludf.DUMMYFUNCTION("""COMPUTED_VALUE"""),100.41)</f>
        <v>100.41</v>
      </c>
      <c r="E1296" s="1">
        <f>IFERROR(__xludf.DUMMYFUNCTION("""COMPUTED_VALUE"""),101.18)</f>
        <v>101.18</v>
      </c>
      <c r="F1296" s="1">
        <f>IFERROR(__xludf.DUMMYFUNCTION("""COMPUTED_VALUE"""),91208.0)</f>
        <v>91208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IFERROR(__xludf.DUMMYFUNCTION("""COMPUTED_VALUE"""),100.77)</f>
        <v>100.77</v>
      </c>
      <c r="C1297" s="1">
        <f>IFERROR(__xludf.DUMMYFUNCTION("""COMPUTED_VALUE"""),101.81)</f>
        <v>101.81</v>
      </c>
      <c r="D1297" s="1">
        <f>IFERROR(__xludf.DUMMYFUNCTION("""COMPUTED_VALUE"""),100.59)</f>
        <v>100.59</v>
      </c>
      <c r="E1297" s="1">
        <f>IFERROR(__xludf.DUMMYFUNCTION("""COMPUTED_VALUE"""),101.51)</f>
        <v>101.51</v>
      </c>
      <c r="F1297" s="1">
        <f>IFERROR(__xludf.DUMMYFUNCTION("""COMPUTED_VALUE"""),66148.0)</f>
        <v>66148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IFERROR(__xludf.DUMMYFUNCTION("""COMPUTED_VALUE"""),101.29)</f>
        <v>101.29</v>
      </c>
      <c r="C1298" s="1">
        <f>IFERROR(__xludf.DUMMYFUNCTION("""COMPUTED_VALUE"""),102.42)</f>
        <v>102.42</v>
      </c>
      <c r="D1298" s="1">
        <f>IFERROR(__xludf.DUMMYFUNCTION("""COMPUTED_VALUE"""),101.1)</f>
        <v>101.1</v>
      </c>
      <c r="E1298" s="1">
        <f>IFERROR(__xludf.DUMMYFUNCTION("""COMPUTED_VALUE"""),101.19)</f>
        <v>101.19</v>
      </c>
      <c r="F1298" s="1">
        <f>IFERROR(__xludf.DUMMYFUNCTION("""COMPUTED_VALUE"""),51487.0)</f>
        <v>51487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IFERROR(__xludf.DUMMYFUNCTION("""COMPUTED_VALUE"""),100.39)</f>
        <v>100.39</v>
      </c>
      <c r="C1299" s="1">
        <f>IFERROR(__xludf.DUMMYFUNCTION("""COMPUTED_VALUE"""),102.02)</f>
        <v>102.02</v>
      </c>
      <c r="D1299" s="1">
        <f>IFERROR(__xludf.DUMMYFUNCTION("""COMPUTED_VALUE"""),99.62)</f>
        <v>99.62</v>
      </c>
      <c r="E1299" s="1">
        <f>IFERROR(__xludf.DUMMYFUNCTION("""COMPUTED_VALUE"""),101.58)</f>
        <v>101.58</v>
      </c>
      <c r="F1299" s="1">
        <f>IFERROR(__xludf.DUMMYFUNCTION("""COMPUTED_VALUE"""),109275.0)</f>
        <v>109275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IFERROR(__xludf.DUMMYFUNCTION("""COMPUTED_VALUE"""),100.88)</f>
        <v>100.88</v>
      </c>
      <c r="C1300" s="1">
        <f>IFERROR(__xludf.DUMMYFUNCTION("""COMPUTED_VALUE"""),102.11)</f>
        <v>102.11</v>
      </c>
      <c r="D1300" s="1">
        <f>IFERROR(__xludf.DUMMYFUNCTION("""COMPUTED_VALUE"""),100.52)</f>
        <v>100.52</v>
      </c>
      <c r="E1300" s="1">
        <f>IFERROR(__xludf.DUMMYFUNCTION("""COMPUTED_VALUE"""),101.42)</f>
        <v>101.42</v>
      </c>
      <c r="F1300" s="1">
        <f>IFERROR(__xludf.DUMMYFUNCTION("""COMPUTED_VALUE"""),286137.0)</f>
        <v>286137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IFERROR(__xludf.DUMMYFUNCTION("""COMPUTED_VALUE"""),101.28)</f>
        <v>101.28</v>
      </c>
      <c r="C1301" s="1">
        <f>IFERROR(__xludf.DUMMYFUNCTION("""COMPUTED_VALUE"""),101.28)</f>
        <v>101.28</v>
      </c>
      <c r="D1301" s="1">
        <f>IFERROR(__xludf.DUMMYFUNCTION("""COMPUTED_VALUE"""),100.05)</f>
        <v>100.05</v>
      </c>
      <c r="E1301" s="1">
        <f>IFERROR(__xludf.DUMMYFUNCTION("""COMPUTED_VALUE"""),100.31)</f>
        <v>100.31</v>
      </c>
      <c r="F1301" s="1">
        <f>IFERROR(__xludf.DUMMYFUNCTION("""COMPUTED_VALUE"""),78949.0)</f>
        <v>78949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IFERROR(__xludf.DUMMYFUNCTION("""COMPUTED_VALUE"""),100.35)</f>
        <v>100.35</v>
      </c>
      <c r="C1302" s="1">
        <f>IFERROR(__xludf.DUMMYFUNCTION("""COMPUTED_VALUE"""),100.8)</f>
        <v>100.8</v>
      </c>
      <c r="D1302" s="1">
        <f>IFERROR(__xludf.DUMMYFUNCTION("""COMPUTED_VALUE"""),99.86)</f>
        <v>99.86</v>
      </c>
      <c r="E1302" s="1">
        <f>IFERROR(__xludf.DUMMYFUNCTION("""COMPUTED_VALUE"""),100.16)</f>
        <v>100.16</v>
      </c>
      <c r="F1302" s="1">
        <f>IFERROR(__xludf.DUMMYFUNCTION("""COMPUTED_VALUE"""),72131.0)</f>
        <v>72131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IFERROR(__xludf.DUMMYFUNCTION("""COMPUTED_VALUE"""),99.63)</f>
        <v>99.63</v>
      </c>
      <c r="C1303" s="1">
        <f>IFERROR(__xludf.DUMMYFUNCTION("""COMPUTED_VALUE"""),99.76)</f>
        <v>99.76</v>
      </c>
      <c r="D1303" s="1">
        <f>IFERROR(__xludf.DUMMYFUNCTION("""COMPUTED_VALUE"""),98.0)</f>
        <v>98</v>
      </c>
      <c r="E1303" s="1">
        <f>IFERROR(__xludf.DUMMYFUNCTION("""COMPUTED_VALUE"""),98.96)</f>
        <v>98.96</v>
      </c>
      <c r="F1303" s="1">
        <f>IFERROR(__xludf.DUMMYFUNCTION("""COMPUTED_VALUE"""),77514.0)</f>
        <v>77514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IFERROR(__xludf.DUMMYFUNCTION("""COMPUTED_VALUE"""),98.77)</f>
        <v>98.77</v>
      </c>
      <c r="C1304" s="1">
        <f>IFERROR(__xludf.DUMMYFUNCTION("""COMPUTED_VALUE"""),100.82)</f>
        <v>100.82</v>
      </c>
      <c r="D1304" s="1">
        <f>IFERROR(__xludf.DUMMYFUNCTION("""COMPUTED_VALUE"""),98.77)</f>
        <v>98.77</v>
      </c>
      <c r="E1304" s="1">
        <f>IFERROR(__xludf.DUMMYFUNCTION("""COMPUTED_VALUE"""),99.94)</f>
        <v>99.94</v>
      </c>
      <c r="F1304" s="1">
        <f>IFERROR(__xludf.DUMMYFUNCTION("""COMPUTED_VALUE"""),52516.0)</f>
        <v>52516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IFERROR(__xludf.DUMMYFUNCTION("""COMPUTED_VALUE"""),99.21)</f>
        <v>99.21</v>
      </c>
      <c r="C1305" s="1">
        <f>IFERROR(__xludf.DUMMYFUNCTION("""COMPUTED_VALUE"""),99.37)</f>
        <v>99.37</v>
      </c>
      <c r="D1305" s="1">
        <f>IFERROR(__xludf.DUMMYFUNCTION("""COMPUTED_VALUE"""),97.87)</f>
        <v>97.87</v>
      </c>
      <c r="E1305" s="1">
        <f>IFERROR(__xludf.DUMMYFUNCTION("""COMPUTED_VALUE"""),98.12)</f>
        <v>98.12</v>
      </c>
      <c r="F1305" s="1">
        <f>IFERROR(__xludf.DUMMYFUNCTION("""COMPUTED_VALUE"""),39271.0)</f>
        <v>39271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IFERROR(__xludf.DUMMYFUNCTION("""COMPUTED_VALUE"""),98.5)</f>
        <v>98.5</v>
      </c>
      <c r="C1306" s="1">
        <f>IFERROR(__xludf.DUMMYFUNCTION("""COMPUTED_VALUE"""),98.91)</f>
        <v>98.91</v>
      </c>
      <c r="D1306" s="1">
        <f>IFERROR(__xludf.DUMMYFUNCTION("""COMPUTED_VALUE"""),97.2)</f>
        <v>97.2</v>
      </c>
      <c r="E1306" s="1">
        <f>IFERROR(__xludf.DUMMYFUNCTION("""COMPUTED_VALUE"""),98.48)</f>
        <v>98.48</v>
      </c>
      <c r="F1306" s="1">
        <f>IFERROR(__xludf.DUMMYFUNCTION("""COMPUTED_VALUE"""),100019.0)</f>
        <v>100019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IFERROR(__xludf.DUMMYFUNCTION("""COMPUTED_VALUE"""),98.95)</f>
        <v>98.95</v>
      </c>
      <c r="C1307" s="1">
        <f>IFERROR(__xludf.DUMMYFUNCTION("""COMPUTED_VALUE"""),103.0)</f>
        <v>103</v>
      </c>
      <c r="D1307" s="1">
        <f>IFERROR(__xludf.DUMMYFUNCTION("""COMPUTED_VALUE"""),98.57)</f>
        <v>98.57</v>
      </c>
      <c r="E1307" s="1">
        <f>IFERROR(__xludf.DUMMYFUNCTION("""COMPUTED_VALUE"""),102.52)</f>
        <v>102.52</v>
      </c>
      <c r="F1307" s="1">
        <f>IFERROR(__xludf.DUMMYFUNCTION("""COMPUTED_VALUE"""),116613.0)</f>
        <v>116613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IFERROR(__xludf.DUMMYFUNCTION("""COMPUTED_VALUE"""),102.93)</f>
        <v>102.93</v>
      </c>
      <c r="C1308" s="1">
        <f>IFERROR(__xludf.DUMMYFUNCTION("""COMPUTED_VALUE"""),102.99)</f>
        <v>102.99</v>
      </c>
      <c r="D1308" s="1">
        <f>IFERROR(__xludf.DUMMYFUNCTION("""COMPUTED_VALUE"""),100.12)</f>
        <v>100.12</v>
      </c>
      <c r="E1308" s="1">
        <f>IFERROR(__xludf.DUMMYFUNCTION("""COMPUTED_VALUE"""),102.79)</f>
        <v>102.79</v>
      </c>
      <c r="F1308" s="1">
        <f>IFERROR(__xludf.DUMMYFUNCTION("""COMPUTED_VALUE"""),62769.0)</f>
        <v>62769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IFERROR(__xludf.DUMMYFUNCTION("""COMPUTED_VALUE"""),102.7)</f>
        <v>102.7</v>
      </c>
      <c r="C1309" s="1">
        <f>IFERROR(__xludf.DUMMYFUNCTION("""COMPUTED_VALUE"""),104.0)</f>
        <v>104</v>
      </c>
      <c r="D1309" s="1">
        <f>IFERROR(__xludf.DUMMYFUNCTION("""COMPUTED_VALUE"""),101.59)</f>
        <v>101.59</v>
      </c>
      <c r="E1309" s="1">
        <f>IFERROR(__xludf.DUMMYFUNCTION("""COMPUTED_VALUE"""),102.54)</f>
        <v>102.54</v>
      </c>
      <c r="F1309" s="1">
        <f>IFERROR(__xludf.DUMMYFUNCTION("""COMPUTED_VALUE"""),72867.0)</f>
        <v>72867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IFERROR(__xludf.DUMMYFUNCTION("""COMPUTED_VALUE"""),101.98)</f>
        <v>101.98</v>
      </c>
      <c r="C1310" s="1">
        <f>IFERROR(__xludf.DUMMYFUNCTION("""COMPUTED_VALUE"""),102.6)</f>
        <v>102.6</v>
      </c>
      <c r="D1310" s="1">
        <f>IFERROR(__xludf.DUMMYFUNCTION("""COMPUTED_VALUE"""),100.9)</f>
        <v>100.9</v>
      </c>
      <c r="E1310" s="1">
        <f>IFERROR(__xludf.DUMMYFUNCTION("""COMPUTED_VALUE"""),101.4)</f>
        <v>101.4</v>
      </c>
      <c r="F1310" s="1">
        <f>IFERROR(__xludf.DUMMYFUNCTION("""COMPUTED_VALUE"""),102643.0)</f>
        <v>102643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IFERROR(__xludf.DUMMYFUNCTION("""COMPUTED_VALUE"""),100.85)</f>
        <v>100.85</v>
      </c>
      <c r="C1311" s="1">
        <f>IFERROR(__xludf.DUMMYFUNCTION("""COMPUTED_VALUE"""),104.21)</f>
        <v>104.21</v>
      </c>
      <c r="D1311" s="1">
        <f>IFERROR(__xludf.DUMMYFUNCTION("""COMPUTED_VALUE"""),100.77)</f>
        <v>100.77</v>
      </c>
      <c r="E1311" s="1">
        <f>IFERROR(__xludf.DUMMYFUNCTION("""COMPUTED_VALUE"""),103.69)</f>
        <v>103.69</v>
      </c>
      <c r="F1311" s="1">
        <f>IFERROR(__xludf.DUMMYFUNCTION("""COMPUTED_VALUE"""),92867.0)</f>
        <v>92867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IFERROR(__xludf.DUMMYFUNCTION("""COMPUTED_VALUE"""),103.11)</f>
        <v>103.11</v>
      </c>
      <c r="C1312" s="1">
        <f>IFERROR(__xludf.DUMMYFUNCTION("""COMPUTED_VALUE"""),104.39)</f>
        <v>104.39</v>
      </c>
      <c r="D1312" s="1">
        <f>IFERROR(__xludf.DUMMYFUNCTION("""COMPUTED_VALUE"""),102.55)</f>
        <v>102.55</v>
      </c>
      <c r="E1312" s="1">
        <f>IFERROR(__xludf.DUMMYFUNCTION("""COMPUTED_VALUE"""),104.13)</f>
        <v>104.13</v>
      </c>
      <c r="F1312" s="1">
        <f>IFERROR(__xludf.DUMMYFUNCTION("""COMPUTED_VALUE"""),88257.0)</f>
        <v>88257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IFERROR(__xludf.DUMMYFUNCTION("""COMPUTED_VALUE"""),104.52)</f>
        <v>104.52</v>
      </c>
      <c r="C1313" s="1">
        <f>IFERROR(__xludf.DUMMYFUNCTION("""COMPUTED_VALUE"""),106.88)</f>
        <v>106.88</v>
      </c>
      <c r="D1313" s="1">
        <f>IFERROR(__xludf.DUMMYFUNCTION("""COMPUTED_VALUE"""),104.52)</f>
        <v>104.52</v>
      </c>
      <c r="E1313" s="1">
        <f>IFERROR(__xludf.DUMMYFUNCTION("""COMPUTED_VALUE"""),105.27)</f>
        <v>105.27</v>
      </c>
      <c r="F1313" s="1">
        <f>IFERROR(__xludf.DUMMYFUNCTION("""COMPUTED_VALUE"""),180720.0)</f>
        <v>180720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IFERROR(__xludf.DUMMYFUNCTION("""COMPUTED_VALUE"""),105.77)</f>
        <v>105.77</v>
      </c>
      <c r="C1314" s="1">
        <f>IFERROR(__xludf.DUMMYFUNCTION("""COMPUTED_VALUE"""),105.99)</f>
        <v>105.99</v>
      </c>
      <c r="D1314" s="1">
        <f>IFERROR(__xludf.DUMMYFUNCTION("""COMPUTED_VALUE"""),104.35)</f>
        <v>104.35</v>
      </c>
      <c r="E1314" s="1">
        <f>IFERROR(__xludf.DUMMYFUNCTION("""COMPUTED_VALUE"""),104.87)</f>
        <v>104.87</v>
      </c>
      <c r="F1314" s="1">
        <f>IFERROR(__xludf.DUMMYFUNCTION("""COMPUTED_VALUE"""),45696.0)</f>
        <v>45696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IFERROR(__xludf.DUMMYFUNCTION("""COMPUTED_VALUE"""),105.48)</f>
        <v>105.48</v>
      </c>
      <c r="C1315" s="1">
        <f>IFERROR(__xludf.DUMMYFUNCTION("""COMPUTED_VALUE"""),105.64)</f>
        <v>105.64</v>
      </c>
      <c r="D1315" s="1">
        <f>IFERROR(__xludf.DUMMYFUNCTION("""COMPUTED_VALUE"""),104.21)</f>
        <v>104.21</v>
      </c>
      <c r="E1315" s="1">
        <f>IFERROR(__xludf.DUMMYFUNCTION("""COMPUTED_VALUE"""),104.52)</f>
        <v>104.52</v>
      </c>
      <c r="F1315" s="1">
        <f>IFERROR(__xludf.DUMMYFUNCTION("""COMPUTED_VALUE"""),93657.0)</f>
        <v>93657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IFERROR(__xludf.DUMMYFUNCTION("""COMPUTED_VALUE"""),105.24)</f>
        <v>105.24</v>
      </c>
      <c r="C1316" s="1">
        <f>IFERROR(__xludf.DUMMYFUNCTION("""COMPUTED_VALUE"""),106.84)</f>
        <v>106.84</v>
      </c>
      <c r="D1316" s="1">
        <f>IFERROR(__xludf.DUMMYFUNCTION("""COMPUTED_VALUE"""),104.4)</f>
        <v>104.4</v>
      </c>
      <c r="E1316" s="1">
        <f>IFERROR(__xludf.DUMMYFUNCTION("""COMPUTED_VALUE"""),104.99)</f>
        <v>104.99</v>
      </c>
      <c r="F1316" s="1">
        <f>IFERROR(__xludf.DUMMYFUNCTION("""COMPUTED_VALUE"""),64379.0)</f>
        <v>64379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IFERROR(__xludf.DUMMYFUNCTION("""COMPUTED_VALUE"""),105.55)</f>
        <v>105.55</v>
      </c>
      <c r="C1317" s="1">
        <f>IFERROR(__xludf.DUMMYFUNCTION("""COMPUTED_VALUE"""),105.55)</f>
        <v>105.55</v>
      </c>
      <c r="D1317" s="1">
        <f>IFERROR(__xludf.DUMMYFUNCTION("""COMPUTED_VALUE"""),103.65)</f>
        <v>103.65</v>
      </c>
      <c r="E1317" s="1">
        <f>IFERROR(__xludf.DUMMYFUNCTION("""COMPUTED_VALUE"""),104.43)</f>
        <v>104.43</v>
      </c>
      <c r="F1317" s="1">
        <f>IFERROR(__xludf.DUMMYFUNCTION("""COMPUTED_VALUE"""),35328.0)</f>
        <v>35328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IFERROR(__xludf.DUMMYFUNCTION("""COMPUTED_VALUE"""),104.28)</f>
        <v>104.28</v>
      </c>
      <c r="C1318" s="1">
        <f>IFERROR(__xludf.DUMMYFUNCTION("""COMPUTED_VALUE"""),106.7)</f>
        <v>106.7</v>
      </c>
      <c r="D1318" s="1">
        <f>IFERROR(__xludf.DUMMYFUNCTION("""COMPUTED_VALUE"""),104.17)</f>
        <v>104.17</v>
      </c>
      <c r="E1318" s="1">
        <f>IFERROR(__xludf.DUMMYFUNCTION("""COMPUTED_VALUE"""),106.46)</f>
        <v>106.46</v>
      </c>
      <c r="F1318" s="1">
        <f>IFERROR(__xludf.DUMMYFUNCTION("""COMPUTED_VALUE"""),27631.0)</f>
        <v>27631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IFERROR(__xludf.DUMMYFUNCTION("""COMPUTED_VALUE"""),107.0)</f>
        <v>107</v>
      </c>
      <c r="C1319" s="1">
        <f>IFERROR(__xludf.DUMMYFUNCTION("""COMPUTED_VALUE"""),108.63)</f>
        <v>108.63</v>
      </c>
      <c r="D1319" s="1">
        <f>IFERROR(__xludf.DUMMYFUNCTION("""COMPUTED_VALUE"""),106.67)</f>
        <v>106.67</v>
      </c>
      <c r="E1319" s="1">
        <f>IFERROR(__xludf.DUMMYFUNCTION("""COMPUTED_VALUE"""),108.17)</f>
        <v>108.17</v>
      </c>
      <c r="F1319" s="1">
        <f>IFERROR(__xludf.DUMMYFUNCTION("""COMPUTED_VALUE"""),48014.0)</f>
        <v>48014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IFERROR(__xludf.DUMMYFUNCTION("""COMPUTED_VALUE"""),108.12)</f>
        <v>108.12</v>
      </c>
      <c r="C1320" s="1">
        <f>IFERROR(__xludf.DUMMYFUNCTION("""COMPUTED_VALUE"""),108.12)</f>
        <v>108.12</v>
      </c>
      <c r="D1320" s="1">
        <f>IFERROR(__xludf.DUMMYFUNCTION("""COMPUTED_VALUE"""),106.1)</f>
        <v>106.1</v>
      </c>
      <c r="E1320" s="1">
        <f>IFERROR(__xludf.DUMMYFUNCTION("""COMPUTED_VALUE"""),106.7)</f>
        <v>106.7</v>
      </c>
      <c r="F1320" s="1">
        <f>IFERROR(__xludf.DUMMYFUNCTION("""COMPUTED_VALUE"""),57559.0)</f>
        <v>57559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IFERROR(__xludf.DUMMYFUNCTION("""COMPUTED_VALUE"""),105.45)</f>
        <v>105.45</v>
      </c>
      <c r="C1321" s="1">
        <f>IFERROR(__xludf.DUMMYFUNCTION("""COMPUTED_VALUE"""),108.16)</f>
        <v>108.16</v>
      </c>
      <c r="D1321" s="1">
        <f>IFERROR(__xludf.DUMMYFUNCTION("""COMPUTED_VALUE"""),105.45)</f>
        <v>105.45</v>
      </c>
      <c r="E1321" s="1">
        <f>IFERROR(__xludf.DUMMYFUNCTION("""COMPUTED_VALUE"""),107.32)</f>
        <v>107.32</v>
      </c>
      <c r="F1321" s="1">
        <f>IFERROR(__xludf.DUMMYFUNCTION("""COMPUTED_VALUE"""),74670.0)</f>
        <v>74670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IFERROR(__xludf.DUMMYFUNCTION("""COMPUTED_VALUE"""),107.1)</f>
        <v>107.1</v>
      </c>
      <c r="C1322" s="1">
        <f>IFERROR(__xludf.DUMMYFUNCTION("""COMPUTED_VALUE"""),109.46)</f>
        <v>109.46</v>
      </c>
      <c r="D1322" s="1">
        <f>IFERROR(__xludf.DUMMYFUNCTION("""COMPUTED_VALUE"""),107.05)</f>
        <v>107.05</v>
      </c>
      <c r="E1322" s="1">
        <f>IFERROR(__xludf.DUMMYFUNCTION("""COMPUTED_VALUE"""),109.1)</f>
        <v>109.1</v>
      </c>
      <c r="F1322" s="1">
        <f>IFERROR(__xludf.DUMMYFUNCTION("""COMPUTED_VALUE"""),49647.0)</f>
        <v>49647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IFERROR(__xludf.DUMMYFUNCTION("""COMPUTED_VALUE"""),107.07)</f>
        <v>107.07</v>
      </c>
      <c r="C1323" s="1">
        <f>IFERROR(__xludf.DUMMYFUNCTION("""COMPUTED_VALUE"""),110.08)</f>
        <v>110.08</v>
      </c>
      <c r="D1323" s="1">
        <f>IFERROR(__xludf.DUMMYFUNCTION("""COMPUTED_VALUE"""),107.07)</f>
        <v>107.07</v>
      </c>
      <c r="E1323" s="1">
        <f>IFERROR(__xludf.DUMMYFUNCTION("""COMPUTED_VALUE"""),109.04)</f>
        <v>109.04</v>
      </c>
      <c r="F1323" s="1">
        <f>IFERROR(__xludf.DUMMYFUNCTION("""COMPUTED_VALUE"""),40324.0)</f>
        <v>40324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IFERROR(__xludf.DUMMYFUNCTION("""COMPUTED_VALUE"""),108.27)</f>
        <v>108.27</v>
      </c>
      <c r="C1324" s="1">
        <f>IFERROR(__xludf.DUMMYFUNCTION("""COMPUTED_VALUE"""),109.31)</f>
        <v>109.31</v>
      </c>
      <c r="D1324" s="1">
        <f>IFERROR(__xludf.DUMMYFUNCTION("""COMPUTED_VALUE"""),107.69)</f>
        <v>107.69</v>
      </c>
      <c r="E1324" s="1">
        <f>IFERROR(__xludf.DUMMYFUNCTION("""COMPUTED_VALUE"""),107.97)</f>
        <v>107.97</v>
      </c>
      <c r="F1324" s="1">
        <f>IFERROR(__xludf.DUMMYFUNCTION("""COMPUTED_VALUE"""),41183.0)</f>
        <v>41183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IFERROR(__xludf.DUMMYFUNCTION("""COMPUTED_VALUE"""),107.93)</f>
        <v>107.93</v>
      </c>
      <c r="C1325" s="1">
        <f>IFERROR(__xludf.DUMMYFUNCTION("""COMPUTED_VALUE"""),108.95)</f>
        <v>108.95</v>
      </c>
      <c r="D1325" s="1">
        <f>IFERROR(__xludf.DUMMYFUNCTION("""COMPUTED_VALUE"""),107.11)</f>
        <v>107.11</v>
      </c>
      <c r="E1325" s="1">
        <f>IFERROR(__xludf.DUMMYFUNCTION("""COMPUTED_VALUE"""),108.24)</f>
        <v>108.24</v>
      </c>
      <c r="F1325" s="1">
        <f>IFERROR(__xludf.DUMMYFUNCTION("""COMPUTED_VALUE"""),61355.0)</f>
        <v>61355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IFERROR(__xludf.DUMMYFUNCTION("""COMPUTED_VALUE"""),108.98)</f>
        <v>108.98</v>
      </c>
      <c r="C1326" s="1">
        <f>IFERROR(__xludf.DUMMYFUNCTION("""COMPUTED_VALUE"""),108.98)</f>
        <v>108.98</v>
      </c>
      <c r="D1326" s="1">
        <f>IFERROR(__xludf.DUMMYFUNCTION("""COMPUTED_VALUE"""),106.22)</f>
        <v>106.22</v>
      </c>
      <c r="E1326" s="1">
        <f>IFERROR(__xludf.DUMMYFUNCTION("""COMPUTED_VALUE"""),106.86)</f>
        <v>106.86</v>
      </c>
      <c r="F1326" s="1">
        <f>IFERROR(__xludf.DUMMYFUNCTION("""COMPUTED_VALUE"""),42840.0)</f>
        <v>42840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IFERROR(__xludf.DUMMYFUNCTION("""COMPUTED_VALUE"""),107.66)</f>
        <v>107.66</v>
      </c>
      <c r="C1327" s="1">
        <f>IFERROR(__xludf.DUMMYFUNCTION("""COMPUTED_VALUE"""),107.88)</f>
        <v>107.88</v>
      </c>
      <c r="D1327" s="1">
        <f>IFERROR(__xludf.DUMMYFUNCTION("""COMPUTED_VALUE"""),106.89)</f>
        <v>106.89</v>
      </c>
      <c r="E1327" s="1">
        <f>IFERROR(__xludf.DUMMYFUNCTION("""COMPUTED_VALUE"""),107.49)</f>
        <v>107.49</v>
      </c>
      <c r="F1327" s="1">
        <f>IFERROR(__xludf.DUMMYFUNCTION("""COMPUTED_VALUE"""),27389.0)</f>
        <v>27389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IFERROR(__xludf.DUMMYFUNCTION("""COMPUTED_VALUE"""),107.4)</f>
        <v>107.4</v>
      </c>
      <c r="C1328" s="1">
        <f>IFERROR(__xludf.DUMMYFUNCTION("""COMPUTED_VALUE"""),107.8)</f>
        <v>107.8</v>
      </c>
      <c r="D1328" s="1">
        <f>IFERROR(__xludf.DUMMYFUNCTION("""COMPUTED_VALUE"""),106.41)</f>
        <v>106.41</v>
      </c>
      <c r="E1328" s="1">
        <f>IFERROR(__xludf.DUMMYFUNCTION("""COMPUTED_VALUE"""),106.66)</f>
        <v>106.66</v>
      </c>
      <c r="F1328" s="1">
        <f>IFERROR(__xludf.DUMMYFUNCTION("""COMPUTED_VALUE"""),25202.0)</f>
        <v>25202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IFERROR(__xludf.DUMMYFUNCTION("""COMPUTED_VALUE"""),106.35)</f>
        <v>106.35</v>
      </c>
      <c r="C1329" s="1">
        <f>IFERROR(__xludf.DUMMYFUNCTION("""COMPUTED_VALUE"""),107.83)</f>
        <v>107.83</v>
      </c>
      <c r="D1329" s="1">
        <f>IFERROR(__xludf.DUMMYFUNCTION("""COMPUTED_VALUE"""),105.83)</f>
        <v>105.83</v>
      </c>
      <c r="E1329" s="1">
        <f>IFERROR(__xludf.DUMMYFUNCTION("""COMPUTED_VALUE"""),106.65)</f>
        <v>106.65</v>
      </c>
      <c r="F1329" s="1">
        <f>IFERROR(__xludf.DUMMYFUNCTION("""COMPUTED_VALUE"""),47978.0)</f>
        <v>47978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IFERROR(__xludf.DUMMYFUNCTION("""COMPUTED_VALUE"""),106.59)</f>
        <v>106.59</v>
      </c>
      <c r="C1330" s="1">
        <f>IFERROR(__xludf.DUMMYFUNCTION("""COMPUTED_VALUE"""),108.07)</f>
        <v>108.07</v>
      </c>
      <c r="D1330" s="1">
        <f>IFERROR(__xludf.DUMMYFUNCTION("""COMPUTED_VALUE"""),106.08)</f>
        <v>106.08</v>
      </c>
      <c r="E1330" s="1">
        <f>IFERROR(__xludf.DUMMYFUNCTION("""COMPUTED_VALUE"""),107.11)</f>
        <v>107.11</v>
      </c>
      <c r="F1330" s="1">
        <f>IFERROR(__xludf.DUMMYFUNCTION("""COMPUTED_VALUE"""),62445.0)</f>
        <v>62445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IFERROR(__xludf.DUMMYFUNCTION("""COMPUTED_VALUE"""),107.81)</f>
        <v>107.81</v>
      </c>
      <c r="C1331" s="1">
        <f>IFERROR(__xludf.DUMMYFUNCTION("""COMPUTED_VALUE"""),108.2)</f>
        <v>108.2</v>
      </c>
      <c r="D1331" s="1">
        <f>IFERROR(__xludf.DUMMYFUNCTION("""COMPUTED_VALUE"""),106.84)</f>
        <v>106.84</v>
      </c>
      <c r="E1331" s="1">
        <f>IFERROR(__xludf.DUMMYFUNCTION("""COMPUTED_VALUE"""),107.65)</f>
        <v>107.65</v>
      </c>
      <c r="F1331" s="1">
        <f>IFERROR(__xludf.DUMMYFUNCTION("""COMPUTED_VALUE"""),42102.0)</f>
        <v>42102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IFERROR(__xludf.DUMMYFUNCTION("""COMPUTED_VALUE"""),107.13)</f>
        <v>107.13</v>
      </c>
      <c r="C1332" s="1">
        <f>IFERROR(__xludf.DUMMYFUNCTION("""COMPUTED_VALUE"""),107.13)</f>
        <v>107.13</v>
      </c>
      <c r="D1332" s="1">
        <f>IFERROR(__xludf.DUMMYFUNCTION("""COMPUTED_VALUE"""),104.74)</f>
        <v>104.74</v>
      </c>
      <c r="E1332" s="1">
        <f>IFERROR(__xludf.DUMMYFUNCTION("""COMPUTED_VALUE"""),105.24)</f>
        <v>105.24</v>
      </c>
      <c r="F1332" s="1">
        <f>IFERROR(__xludf.DUMMYFUNCTION("""COMPUTED_VALUE"""),85661.0)</f>
        <v>85661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IFERROR(__xludf.DUMMYFUNCTION("""COMPUTED_VALUE"""),106.12)</f>
        <v>106.12</v>
      </c>
      <c r="C1333" s="1">
        <f>IFERROR(__xludf.DUMMYFUNCTION("""COMPUTED_VALUE"""),107.75)</f>
        <v>107.75</v>
      </c>
      <c r="D1333" s="1">
        <f>IFERROR(__xludf.DUMMYFUNCTION("""COMPUTED_VALUE"""),105.8)</f>
        <v>105.8</v>
      </c>
      <c r="E1333" s="1">
        <f>IFERROR(__xludf.DUMMYFUNCTION("""COMPUTED_VALUE"""),107.38)</f>
        <v>107.38</v>
      </c>
      <c r="F1333" s="1">
        <f>IFERROR(__xludf.DUMMYFUNCTION("""COMPUTED_VALUE"""),73530.0)</f>
        <v>73530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IFERROR(__xludf.DUMMYFUNCTION("""COMPUTED_VALUE"""),107.36)</f>
        <v>107.36</v>
      </c>
      <c r="C1334" s="1">
        <f>IFERROR(__xludf.DUMMYFUNCTION("""COMPUTED_VALUE"""),108.1)</f>
        <v>108.1</v>
      </c>
      <c r="D1334" s="1">
        <f>IFERROR(__xludf.DUMMYFUNCTION("""COMPUTED_VALUE"""),106.89)</f>
        <v>106.89</v>
      </c>
      <c r="E1334" s="1">
        <f>IFERROR(__xludf.DUMMYFUNCTION("""COMPUTED_VALUE"""),107.49)</f>
        <v>107.49</v>
      </c>
      <c r="F1334" s="1">
        <f>IFERROR(__xludf.DUMMYFUNCTION("""COMPUTED_VALUE"""),41174.0)</f>
        <v>41174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IFERROR(__xludf.DUMMYFUNCTION("""COMPUTED_VALUE"""),107.5)</f>
        <v>107.5</v>
      </c>
      <c r="C1335" s="1">
        <f>IFERROR(__xludf.DUMMYFUNCTION("""COMPUTED_VALUE"""),107.85)</f>
        <v>107.85</v>
      </c>
      <c r="D1335" s="1">
        <f>IFERROR(__xludf.DUMMYFUNCTION("""COMPUTED_VALUE"""),105.38)</f>
        <v>105.38</v>
      </c>
      <c r="E1335" s="1">
        <f>IFERROR(__xludf.DUMMYFUNCTION("""COMPUTED_VALUE"""),106.12)</f>
        <v>106.12</v>
      </c>
      <c r="F1335" s="1">
        <f>IFERROR(__xludf.DUMMYFUNCTION("""COMPUTED_VALUE"""),40953.0)</f>
        <v>40953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IFERROR(__xludf.DUMMYFUNCTION("""COMPUTED_VALUE"""),106.67)</f>
        <v>106.67</v>
      </c>
      <c r="C1336" s="1">
        <f>IFERROR(__xludf.DUMMYFUNCTION("""COMPUTED_VALUE"""),106.9)</f>
        <v>106.9</v>
      </c>
      <c r="D1336" s="1">
        <f>IFERROR(__xludf.DUMMYFUNCTION("""COMPUTED_VALUE"""),105.14)</f>
        <v>105.14</v>
      </c>
      <c r="E1336" s="1">
        <f>IFERROR(__xludf.DUMMYFUNCTION("""COMPUTED_VALUE"""),105.34)</f>
        <v>105.34</v>
      </c>
      <c r="F1336" s="1">
        <f>IFERROR(__xludf.DUMMYFUNCTION("""COMPUTED_VALUE"""),46192.0)</f>
        <v>46192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IFERROR(__xludf.DUMMYFUNCTION("""COMPUTED_VALUE"""),105.12)</f>
        <v>105.12</v>
      </c>
      <c r="C1337" s="1">
        <f>IFERROR(__xludf.DUMMYFUNCTION("""COMPUTED_VALUE"""),105.5)</f>
        <v>105.5</v>
      </c>
      <c r="D1337" s="1">
        <f>IFERROR(__xludf.DUMMYFUNCTION("""COMPUTED_VALUE"""),104.36)</f>
        <v>104.36</v>
      </c>
      <c r="E1337" s="1">
        <f>IFERROR(__xludf.DUMMYFUNCTION("""COMPUTED_VALUE"""),105.12)</f>
        <v>105.12</v>
      </c>
      <c r="F1337" s="1">
        <f>IFERROR(__xludf.DUMMYFUNCTION("""COMPUTED_VALUE"""),59196.0)</f>
        <v>59196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IFERROR(__xludf.DUMMYFUNCTION("""COMPUTED_VALUE"""),105.07)</f>
        <v>105.07</v>
      </c>
      <c r="C1338" s="1">
        <f>IFERROR(__xludf.DUMMYFUNCTION("""COMPUTED_VALUE"""),105.8)</f>
        <v>105.8</v>
      </c>
      <c r="D1338" s="1">
        <f>IFERROR(__xludf.DUMMYFUNCTION("""COMPUTED_VALUE"""),103.7)</f>
        <v>103.7</v>
      </c>
      <c r="E1338" s="1">
        <f>IFERROR(__xludf.DUMMYFUNCTION("""COMPUTED_VALUE"""),105.1)</f>
        <v>105.1</v>
      </c>
      <c r="F1338" s="1">
        <f>IFERROR(__xludf.DUMMYFUNCTION("""COMPUTED_VALUE"""),45380.0)</f>
        <v>45380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IFERROR(__xludf.DUMMYFUNCTION("""COMPUTED_VALUE"""),102.99)</f>
        <v>102.99</v>
      </c>
      <c r="C1339" s="1">
        <f>IFERROR(__xludf.DUMMYFUNCTION("""COMPUTED_VALUE"""),109.81)</f>
        <v>109.81</v>
      </c>
      <c r="D1339" s="1">
        <f>IFERROR(__xludf.DUMMYFUNCTION("""COMPUTED_VALUE"""),102.11)</f>
        <v>102.11</v>
      </c>
      <c r="E1339" s="1">
        <f>IFERROR(__xludf.DUMMYFUNCTION("""COMPUTED_VALUE"""),108.22)</f>
        <v>108.22</v>
      </c>
      <c r="F1339" s="1">
        <f>IFERROR(__xludf.DUMMYFUNCTION("""COMPUTED_VALUE"""),88372.0)</f>
        <v>88372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IFERROR(__xludf.DUMMYFUNCTION("""COMPUTED_VALUE"""),107.59)</f>
        <v>107.59</v>
      </c>
      <c r="C1340" s="1">
        <f>IFERROR(__xludf.DUMMYFUNCTION("""COMPUTED_VALUE"""),108.24)</f>
        <v>108.24</v>
      </c>
      <c r="D1340" s="1">
        <f>IFERROR(__xludf.DUMMYFUNCTION("""COMPUTED_VALUE"""),104.64)</f>
        <v>104.64</v>
      </c>
      <c r="E1340" s="1">
        <f>IFERROR(__xludf.DUMMYFUNCTION("""COMPUTED_VALUE"""),105.02)</f>
        <v>105.02</v>
      </c>
      <c r="F1340" s="1">
        <f>IFERROR(__xludf.DUMMYFUNCTION("""COMPUTED_VALUE"""),87955.0)</f>
        <v>87955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IFERROR(__xludf.DUMMYFUNCTION("""COMPUTED_VALUE"""),105.02)</f>
        <v>105.02</v>
      </c>
      <c r="C1341" s="1">
        <f>IFERROR(__xludf.DUMMYFUNCTION("""COMPUTED_VALUE"""),106.14)</f>
        <v>106.14</v>
      </c>
      <c r="D1341" s="1">
        <f>IFERROR(__xludf.DUMMYFUNCTION("""COMPUTED_VALUE"""),104.18)</f>
        <v>104.18</v>
      </c>
      <c r="E1341" s="1">
        <f>IFERROR(__xludf.DUMMYFUNCTION("""COMPUTED_VALUE"""),104.33)</f>
        <v>104.33</v>
      </c>
      <c r="F1341" s="1">
        <f>IFERROR(__xludf.DUMMYFUNCTION("""COMPUTED_VALUE"""),76590.0)</f>
        <v>76590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IFERROR(__xludf.DUMMYFUNCTION("""COMPUTED_VALUE"""),105.82)</f>
        <v>105.82</v>
      </c>
      <c r="C1342" s="1">
        <f>IFERROR(__xludf.DUMMYFUNCTION("""COMPUTED_VALUE"""),105.82)</f>
        <v>105.82</v>
      </c>
      <c r="D1342" s="1">
        <f>IFERROR(__xludf.DUMMYFUNCTION("""COMPUTED_VALUE"""),103.99)</f>
        <v>103.99</v>
      </c>
      <c r="E1342" s="1">
        <f>IFERROR(__xludf.DUMMYFUNCTION("""COMPUTED_VALUE"""),104.9)</f>
        <v>104.9</v>
      </c>
      <c r="F1342" s="1">
        <f>IFERROR(__xludf.DUMMYFUNCTION("""COMPUTED_VALUE"""),55011.0)</f>
        <v>55011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IFERROR(__xludf.DUMMYFUNCTION("""COMPUTED_VALUE"""),104.89)</f>
        <v>104.89</v>
      </c>
      <c r="C1343" s="1">
        <f>IFERROR(__xludf.DUMMYFUNCTION("""COMPUTED_VALUE"""),106.15)</f>
        <v>106.15</v>
      </c>
      <c r="D1343" s="1">
        <f>IFERROR(__xludf.DUMMYFUNCTION("""COMPUTED_VALUE"""),104.3)</f>
        <v>104.3</v>
      </c>
      <c r="E1343" s="1">
        <f>IFERROR(__xludf.DUMMYFUNCTION("""COMPUTED_VALUE"""),105.21)</f>
        <v>105.21</v>
      </c>
      <c r="F1343" s="1">
        <f>IFERROR(__xludf.DUMMYFUNCTION("""COMPUTED_VALUE"""),43665.0)</f>
        <v>43665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IFERROR(__xludf.DUMMYFUNCTION("""COMPUTED_VALUE"""),107.46)</f>
        <v>107.46</v>
      </c>
      <c r="C1344" s="1">
        <f>IFERROR(__xludf.DUMMYFUNCTION("""COMPUTED_VALUE"""),107.46)</f>
        <v>107.46</v>
      </c>
      <c r="D1344" s="1">
        <f>IFERROR(__xludf.DUMMYFUNCTION("""COMPUTED_VALUE"""),103.95)</f>
        <v>103.95</v>
      </c>
      <c r="E1344" s="1">
        <f>IFERROR(__xludf.DUMMYFUNCTION("""COMPUTED_VALUE"""),104.89)</f>
        <v>104.89</v>
      </c>
      <c r="F1344" s="1">
        <f>IFERROR(__xludf.DUMMYFUNCTION("""COMPUTED_VALUE"""),54675.0)</f>
        <v>54675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IFERROR(__xludf.DUMMYFUNCTION("""COMPUTED_VALUE"""),105.59)</f>
        <v>105.59</v>
      </c>
      <c r="C1345" s="1">
        <f>IFERROR(__xludf.DUMMYFUNCTION("""COMPUTED_VALUE"""),106.19)</f>
        <v>106.19</v>
      </c>
      <c r="D1345" s="1">
        <f>IFERROR(__xludf.DUMMYFUNCTION("""COMPUTED_VALUE"""),104.5)</f>
        <v>104.5</v>
      </c>
      <c r="E1345" s="1">
        <f>IFERROR(__xludf.DUMMYFUNCTION("""COMPUTED_VALUE"""),106.09)</f>
        <v>106.09</v>
      </c>
      <c r="F1345" s="1">
        <f>IFERROR(__xludf.DUMMYFUNCTION("""COMPUTED_VALUE"""),53219.0)</f>
        <v>53219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IFERROR(__xludf.DUMMYFUNCTION("""COMPUTED_VALUE"""),107.07)</f>
        <v>107.07</v>
      </c>
      <c r="C1346" s="1">
        <f>IFERROR(__xludf.DUMMYFUNCTION("""COMPUTED_VALUE"""),107.07)</f>
        <v>107.07</v>
      </c>
      <c r="D1346" s="1">
        <f>IFERROR(__xludf.DUMMYFUNCTION("""COMPUTED_VALUE"""),105.62)</f>
        <v>105.62</v>
      </c>
      <c r="E1346" s="1">
        <f>IFERROR(__xludf.DUMMYFUNCTION("""COMPUTED_VALUE"""),106.42)</f>
        <v>106.42</v>
      </c>
      <c r="F1346" s="1">
        <f>IFERROR(__xludf.DUMMYFUNCTION("""COMPUTED_VALUE"""),34804.0)</f>
        <v>34804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IFERROR(__xludf.DUMMYFUNCTION("""COMPUTED_VALUE"""),107.12)</f>
        <v>107.12</v>
      </c>
      <c r="C1347" s="1">
        <f>IFERROR(__xludf.DUMMYFUNCTION("""COMPUTED_VALUE"""),107.38)</f>
        <v>107.38</v>
      </c>
      <c r="D1347" s="1">
        <f>IFERROR(__xludf.DUMMYFUNCTION("""COMPUTED_VALUE"""),106.4)</f>
        <v>106.4</v>
      </c>
      <c r="E1347" s="1">
        <f>IFERROR(__xludf.DUMMYFUNCTION("""COMPUTED_VALUE"""),106.7)</f>
        <v>106.7</v>
      </c>
      <c r="F1347" s="1">
        <f>IFERROR(__xludf.DUMMYFUNCTION("""COMPUTED_VALUE"""),89934.0)</f>
        <v>89934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IFERROR(__xludf.DUMMYFUNCTION("""COMPUTED_VALUE"""),107.15)</f>
        <v>107.15</v>
      </c>
      <c r="C1348" s="1">
        <f>IFERROR(__xludf.DUMMYFUNCTION("""COMPUTED_VALUE"""),107.77)</f>
        <v>107.77</v>
      </c>
      <c r="D1348" s="1">
        <f>IFERROR(__xludf.DUMMYFUNCTION("""COMPUTED_VALUE"""),106.91)</f>
        <v>106.91</v>
      </c>
      <c r="E1348" s="1">
        <f>IFERROR(__xludf.DUMMYFUNCTION("""COMPUTED_VALUE"""),107.39)</f>
        <v>107.39</v>
      </c>
      <c r="F1348" s="1">
        <f>IFERROR(__xludf.DUMMYFUNCTION("""COMPUTED_VALUE"""),46168.0)</f>
        <v>46168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IFERROR(__xludf.DUMMYFUNCTION("""COMPUTED_VALUE"""),106.45)</f>
        <v>106.45</v>
      </c>
      <c r="C1349" s="1">
        <f>IFERROR(__xludf.DUMMYFUNCTION("""COMPUTED_VALUE"""),108.0)</f>
        <v>108</v>
      </c>
      <c r="D1349" s="1">
        <f>IFERROR(__xludf.DUMMYFUNCTION("""COMPUTED_VALUE"""),105.69)</f>
        <v>105.69</v>
      </c>
      <c r="E1349" s="1">
        <f>IFERROR(__xludf.DUMMYFUNCTION("""COMPUTED_VALUE"""),107.47)</f>
        <v>107.47</v>
      </c>
      <c r="F1349" s="1">
        <f>IFERROR(__xludf.DUMMYFUNCTION("""COMPUTED_VALUE"""),64213.0)</f>
        <v>64213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IFERROR(__xludf.DUMMYFUNCTION("""COMPUTED_VALUE"""),107.68)</f>
        <v>107.68</v>
      </c>
      <c r="C1350" s="1">
        <f>IFERROR(__xludf.DUMMYFUNCTION("""COMPUTED_VALUE"""),108.09)</f>
        <v>108.09</v>
      </c>
      <c r="D1350" s="1">
        <f>IFERROR(__xludf.DUMMYFUNCTION("""COMPUTED_VALUE"""),107.2)</f>
        <v>107.2</v>
      </c>
      <c r="E1350" s="1">
        <f>IFERROR(__xludf.DUMMYFUNCTION("""COMPUTED_VALUE"""),107.63)</f>
        <v>107.63</v>
      </c>
      <c r="F1350" s="1">
        <f>IFERROR(__xludf.DUMMYFUNCTION("""COMPUTED_VALUE"""),34460.0)</f>
        <v>34460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IFERROR(__xludf.DUMMYFUNCTION("""COMPUTED_VALUE"""),108.27)</f>
        <v>108.27</v>
      </c>
      <c r="C1351" s="1">
        <f>IFERROR(__xludf.DUMMYFUNCTION("""COMPUTED_VALUE"""),110.68)</f>
        <v>110.68</v>
      </c>
      <c r="D1351" s="1">
        <f>IFERROR(__xludf.DUMMYFUNCTION("""COMPUTED_VALUE"""),108.27)</f>
        <v>108.27</v>
      </c>
      <c r="E1351" s="1">
        <f>IFERROR(__xludf.DUMMYFUNCTION("""COMPUTED_VALUE"""),110.48)</f>
        <v>110.48</v>
      </c>
      <c r="F1351" s="1">
        <f>IFERROR(__xludf.DUMMYFUNCTION("""COMPUTED_VALUE"""),48577.0)</f>
        <v>48577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IFERROR(__xludf.DUMMYFUNCTION("""COMPUTED_VALUE"""),107.32)</f>
        <v>107.32</v>
      </c>
      <c r="C1352" s="1">
        <f>IFERROR(__xludf.DUMMYFUNCTION("""COMPUTED_VALUE"""),110.12)</f>
        <v>110.12</v>
      </c>
      <c r="D1352" s="1">
        <f>IFERROR(__xludf.DUMMYFUNCTION("""COMPUTED_VALUE"""),107.32)</f>
        <v>107.32</v>
      </c>
      <c r="E1352" s="1">
        <f>IFERROR(__xludf.DUMMYFUNCTION("""COMPUTED_VALUE"""),108.85)</f>
        <v>108.85</v>
      </c>
      <c r="F1352" s="1">
        <f>IFERROR(__xludf.DUMMYFUNCTION("""COMPUTED_VALUE"""),39750.0)</f>
        <v>39750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IFERROR(__xludf.DUMMYFUNCTION("""COMPUTED_VALUE"""),109.53)</f>
        <v>109.53</v>
      </c>
      <c r="C1353" s="1">
        <f>IFERROR(__xludf.DUMMYFUNCTION("""COMPUTED_VALUE"""),110.88)</f>
        <v>110.88</v>
      </c>
      <c r="D1353" s="1">
        <f>IFERROR(__xludf.DUMMYFUNCTION("""COMPUTED_VALUE"""),108.9)</f>
        <v>108.9</v>
      </c>
      <c r="E1353" s="1">
        <f>IFERROR(__xludf.DUMMYFUNCTION("""COMPUTED_VALUE"""),109.94)</f>
        <v>109.94</v>
      </c>
      <c r="F1353" s="1">
        <f>IFERROR(__xludf.DUMMYFUNCTION("""COMPUTED_VALUE"""),32225.0)</f>
        <v>32225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IFERROR(__xludf.DUMMYFUNCTION("""COMPUTED_VALUE"""),109.87)</f>
        <v>109.87</v>
      </c>
      <c r="C1354" s="1">
        <f>IFERROR(__xludf.DUMMYFUNCTION("""COMPUTED_VALUE"""),110.7)</f>
        <v>110.7</v>
      </c>
      <c r="D1354" s="1">
        <f>IFERROR(__xludf.DUMMYFUNCTION("""COMPUTED_VALUE"""),108.69)</f>
        <v>108.69</v>
      </c>
      <c r="E1354" s="1">
        <f>IFERROR(__xludf.DUMMYFUNCTION("""COMPUTED_VALUE"""),109.66)</f>
        <v>109.66</v>
      </c>
      <c r="F1354" s="1">
        <f>IFERROR(__xludf.DUMMYFUNCTION("""COMPUTED_VALUE"""),42297.0)</f>
        <v>42297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IFERROR(__xludf.DUMMYFUNCTION("""COMPUTED_VALUE"""),109.86)</f>
        <v>109.86</v>
      </c>
      <c r="C1355" s="1">
        <f>IFERROR(__xludf.DUMMYFUNCTION("""COMPUTED_VALUE"""),111.08)</f>
        <v>111.08</v>
      </c>
      <c r="D1355" s="1">
        <f>IFERROR(__xludf.DUMMYFUNCTION("""COMPUTED_VALUE"""),109.35)</f>
        <v>109.35</v>
      </c>
      <c r="E1355" s="1">
        <f>IFERROR(__xludf.DUMMYFUNCTION("""COMPUTED_VALUE"""),109.97)</f>
        <v>109.97</v>
      </c>
      <c r="F1355" s="1">
        <f>IFERROR(__xludf.DUMMYFUNCTION("""COMPUTED_VALUE"""),35787.0)</f>
        <v>35787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IFERROR(__xludf.DUMMYFUNCTION("""COMPUTED_VALUE"""),109.37)</f>
        <v>109.37</v>
      </c>
      <c r="C1356" s="1">
        <f>IFERROR(__xludf.DUMMYFUNCTION("""COMPUTED_VALUE"""),110.12)</f>
        <v>110.12</v>
      </c>
      <c r="D1356" s="1">
        <f>IFERROR(__xludf.DUMMYFUNCTION("""COMPUTED_VALUE"""),107.85)</f>
        <v>107.85</v>
      </c>
      <c r="E1356" s="1">
        <f>IFERROR(__xludf.DUMMYFUNCTION("""COMPUTED_VALUE"""),108.32)</f>
        <v>108.32</v>
      </c>
      <c r="F1356" s="1">
        <f>IFERROR(__xludf.DUMMYFUNCTION("""COMPUTED_VALUE"""),63153.0)</f>
        <v>63153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IFERROR(__xludf.DUMMYFUNCTION("""COMPUTED_VALUE"""),107.76)</f>
        <v>107.76</v>
      </c>
      <c r="C1357" s="1">
        <f>IFERROR(__xludf.DUMMYFUNCTION("""COMPUTED_VALUE"""),108.75)</f>
        <v>108.75</v>
      </c>
      <c r="D1357" s="1">
        <f>IFERROR(__xludf.DUMMYFUNCTION("""COMPUTED_VALUE"""),107.21)</f>
        <v>107.21</v>
      </c>
      <c r="E1357" s="1">
        <f>IFERROR(__xludf.DUMMYFUNCTION("""COMPUTED_VALUE"""),107.93)</f>
        <v>107.93</v>
      </c>
      <c r="F1357" s="1">
        <f>IFERROR(__xludf.DUMMYFUNCTION("""COMPUTED_VALUE"""),31919.0)</f>
        <v>31919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IFERROR(__xludf.DUMMYFUNCTION("""COMPUTED_VALUE"""),107.93)</f>
        <v>107.93</v>
      </c>
      <c r="C1358" s="1">
        <f>IFERROR(__xludf.DUMMYFUNCTION("""COMPUTED_VALUE"""),108.47)</f>
        <v>108.47</v>
      </c>
      <c r="D1358" s="1">
        <f>IFERROR(__xludf.DUMMYFUNCTION("""COMPUTED_VALUE"""),107.28)</f>
        <v>107.28</v>
      </c>
      <c r="E1358" s="1">
        <f>IFERROR(__xludf.DUMMYFUNCTION("""COMPUTED_VALUE"""),107.82)</f>
        <v>107.82</v>
      </c>
      <c r="F1358" s="1">
        <f>IFERROR(__xludf.DUMMYFUNCTION("""COMPUTED_VALUE"""),59745.0)</f>
        <v>59745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IFERROR(__xludf.DUMMYFUNCTION("""COMPUTED_VALUE"""),107.82)</f>
        <v>107.82</v>
      </c>
      <c r="C1359" s="1">
        <f>IFERROR(__xludf.DUMMYFUNCTION("""COMPUTED_VALUE"""),109.59)</f>
        <v>109.59</v>
      </c>
      <c r="D1359" s="1">
        <f>IFERROR(__xludf.DUMMYFUNCTION("""COMPUTED_VALUE"""),107.7)</f>
        <v>107.7</v>
      </c>
      <c r="E1359" s="1">
        <f>IFERROR(__xludf.DUMMYFUNCTION("""COMPUTED_VALUE"""),109.04)</f>
        <v>109.04</v>
      </c>
      <c r="F1359" s="1">
        <f>IFERROR(__xludf.DUMMYFUNCTION("""COMPUTED_VALUE"""),27508.0)</f>
        <v>27508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IFERROR(__xludf.DUMMYFUNCTION("""COMPUTED_VALUE"""),108.76)</f>
        <v>108.76</v>
      </c>
      <c r="C1360" s="1">
        <f>IFERROR(__xludf.DUMMYFUNCTION("""COMPUTED_VALUE"""),109.41)</f>
        <v>109.41</v>
      </c>
      <c r="D1360" s="1">
        <f>IFERROR(__xludf.DUMMYFUNCTION("""COMPUTED_VALUE"""),108.1)</f>
        <v>108.1</v>
      </c>
      <c r="E1360" s="1">
        <f>IFERROR(__xludf.DUMMYFUNCTION("""COMPUTED_VALUE"""),109.2)</f>
        <v>109.2</v>
      </c>
      <c r="F1360" s="1">
        <f>IFERROR(__xludf.DUMMYFUNCTION("""COMPUTED_VALUE"""),35599.0)</f>
        <v>35599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IFERROR(__xludf.DUMMYFUNCTION("""COMPUTED_VALUE"""),109.39)</f>
        <v>109.39</v>
      </c>
      <c r="C1361" s="1">
        <f>IFERROR(__xludf.DUMMYFUNCTION("""COMPUTED_VALUE"""),109.39)</f>
        <v>109.39</v>
      </c>
      <c r="D1361" s="1">
        <f>IFERROR(__xludf.DUMMYFUNCTION("""COMPUTED_VALUE"""),107.5)</f>
        <v>107.5</v>
      </c>
      <c r="E1361" s="1">
        <f>IFERROR(__xludf.DUMMYFUNCTION("""COMPUTED_VALUE"""),107.8)</f>
        <v>107.8</v>
      </c>
      <c r="F1361" s="1">
        <f>IFERROR(__xludf.DUMMYFUNCTION("""COMPUTED_VALUE"""),48819.0)</f>
        <v>48819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IFERROR(__xludf.DUMMYFUNCTION("""COMPUTED_VALUE"""),108.4)</f>
        <v>108.4</v>
      </c>
      <c r="C1362" s="1">
        <f>IFERROR(__xludf.DUMMYFUNCTION("""COMPUTED_VALUE"""),108.68)</f>
        <v>108.68</v>
      </c>
      <c r="D1362" s="1">
        <f>IFERROR(__xludf.DUMMYFUNCTION("""COMPUTED_VALUE"""),107.01)</f>
        <v>107.01</v>
      </c>
      <c r="E1362" s="1">
        <f>IFERROR(__xludf.DUMMYFUNCTION("""COMPUTED_VALUE"""),108.33)</f>
        <v>108.33</v>
      </c>
      <c r="F1362" s="1">
        <f>IFERROR(__xludf.DUMMYFUNCTION("""COMPUTED_VALUE"""),24646.0)</f>
        <v>24646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IFERROR(__xludf.DUMMYFUNCTION("""COMPUTED_VALUE"""),108.35)</f>
        <v>108.35</v>
      </c>
      <c r="C1363" s="1">
        <f>IFERROR(__xludf.DUMMYFUNCTION("""COMPUTED_VALUE"""),108.67)</f>
        <v>108.67</v>
      </c>
      <c r="D1363" s="1">
        <f>IFERROR(__xludf.DUMMYFUNCTION("""COMPUTED_VALUE"""),107.17)</f>
        <v>107.17</v>
      </c>
      <c r="E1363" s="1">
        <f>IFERROR(__xludf.DUMMYFUNCTION("""COMPUTED_VALUE"""),108.12)</f>
        <v>108.12</v>
      </c>
      <c r="F1363" s="1">
        <f>IFERROR(__xludf.DUMMYFUNCTION("""COMPUTED_VALUE"""),37639.0)</f>
        <v>37639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IFERROR(__xludf.DUMMYFUNCTION("""COMPUTED_VALUE"""),112.97)</f>
        <v>112.97</v>
      </c>
      <c r="C1364" s="1">
        <f>IFERROR(__xludf.DUMMYFUNCTION("""COMPUTED_VALUE"""),112.97)</f>
        <v>112.97</v>
      </c>
      <c r="D1364" s="1">
        <f>IFERROR(__xludf.DUMMYFUNCTION("""COMPUTED_VALUE"""),107.84)</f>
        <v>107.84</v>
      </c>
      <c r="E1364" s="1">
        <f>IFERROR(__xludf.DUMMYFUNCTION("""COMPUTED_VALUE"""),109.09)</f>
        <v>109.09</v>
      </c>
      <c r="F1364" s="1">
        <f>IFERROR(__xludf.DUMMYFUNCTION("""COMPUTED_VALUE"""),36437.0)</f>
        <v>36437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IFERROR(__xludf.DUMMYFUNCTION("""COMPUTED_VALUE"""),108.61)</f>
        <v>108.61</v>
      </c>
      <c r="C1365" s="1">
        <f>IFERROR(__xludf.DUMMYFUNCTION("""COMPUTED_VALUE"""),108.92)</f>
        <v>108.92</v>
      </c>
      <c r="D1365" s="1">
        <f>IFERROR(__xludf.DUMMYFUNCTION("""COMPUTED_VALUE"""),106.98)</f>
        <v>106.98</v>
      </c>
      <c r="E1365" s="1">
        <f>IFERROR(__xludf.DUMMYFUNCTION("""COMPUTED_VALUE"""),107.63)</f>
        <v>107.63</v>
      </c>
      <c r="F1365" s="1">
        <f>IFERROR(__xludf.DUMMYFUNCTION("""COMPUTED_VALUE"""),29024.0)</f>
        <v>29024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IFERROR(__xludf.DUMMYFUNCTION("""COMPUTED_VALUE"""),107.0)</f>
        <v>107</v>
      </c>
      <c r="C1366" s="1">
        <f>IFERROR(__xludf.DUMMYFUNCTION("""COMPUTED_VALUE"""),108.53)</f>
        <v>108.53</v>
      </c>
      <c r="D1366" s="1">
        <f>IFERROR(__xludf.DUMMYFUNCTION("""COMPUTED_VALUE"""),107.0)</f>
        <v>107</v>
      </c>
      <c r="E1366" s="1">
        <f>IFERROR(__xludf.DUMMYFUNCTION("""COMPUTED_VALUE"""),108.26)</f>
        <v>108.26</v>
      </c>
      <c r="F1366" s="1">
        <f>IFERROR(__xludf.DUMMYFUNCTION("""COMPUTED_VALUE"""),31409.0)</f>
        <v>31409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IFERROR(__xludf.DUMMYFUNCTION("""COMPUTED_VALUE"""),107.4)</f>
        <v>107.4</v>
      </c>
      <c r="C1367" s="1">
        <f>IFERROR(__xludf.DUMMYFUNCTION("""COMPUTED_VALUE"""),108.66)</f>
        <v>108.66</v>
      </c>
      <c r="D1367" s="1">
        <f>IFERROR(__xludf.DUMMYFUNCTION("""COMPUTED_VALUE"""),107.4)</f>
        <v>107.4</v>
      </c>
      <c r="E1367" s="1">
        <f>IFERROR(__xludf.DUMMYFUNCTION("""COMPUTED_VALUE"""),107.81)</f>
        <v>107.81</v>
      </c>
      <c r="F1367" s="1">
        <f>IFERROR(__xludf.DUMMYFUNCTION("""COMPUTED_VALUE"""),19372.0)</f>
        <v>19372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IFERROR(__xludf.DUMMYFUNCTION("""COMPUTED_VALUE"""),108.66)</f>
        <v>108.66</v>
      </c>
      <c r="C1368" s="1">
        <f>IFERROR(__xludf.DUMMYFUNCTION("""COMPUTED_VALUE"""),108.66)</f>
        <v>108.66</v>
      </c>
      <c r="D1368" s="1">
        <f>IFERROR(__xludf.DUMMYFUNCTION("""COMPUTED_VALUE"""),107.1)</f>
        <v>107.1</v>
      </c>
      <c r="E1368" s="1">
        <f>IFERROR(__xludf.DUMMYFUNCTION("""COMPUTED_VALUE"""),107.88)</f>
        <v>107.88</v>
      </c>
      <c r="F1368" s="1">
        <f>IFERROR(__xludf.DUMMYFUNCTION("""COMPUTED_VALUE"""),34540.0)</f>
        <v>34540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IFERROR(__xludf.DUMMYFUNCTION("""COMPUTED_VALUE"""),108.74)</f>
        <v>108.74</v>
      </c>
      <c r="C1369" s="1">
        <f>IFERROR(__xludf.DUMMYFUNCTION("""COMPUTED_VALUE"""),110.83)</f>
        <v>110.83</v>
      </c>
      <c r="D1369" s="1">
        <f>IFERROR(__xludf.DUMMYFUNCTION("""COMPUTED_VALUE"""),108.55)</f>
        <v>108.55</v>
      </c>
      <c r="E1369" s="1">
        <f>IFERROR(__xludf.DUMMYFUNCTION("""COMPUTED_VALUE"""),109.86)</f>
        <v>109.86</v>
      </c>
      <c r="F1369" s="1">
        <f>IFERROR(__xludf.DUMMYFUNCTION("""COMPUTED_VALUE"""),52940.0)</f>
        <v>52940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IFERROR(__xludf.DUMMYFUNCTION("""COMPUTED_VALUE"""),109.96)</f>
        <v>109.96</v>
      </c>
      <c r="C1370" s="1">
        <f>IFERROR(__xludf.DUMMYFUNCTION("""COMPUTED_VALUE"""),110.45)</f>
        <v>110.45</v>
      </c>
      <c r="D1370" s="1">
        <f>IFERROR(__xludf.DUMMYFUNCTION("""COMPUTED_VALUE"""),108.46)</f>
        <v>108.46</v>
      </c>
      <c r="E1370" s="1">
        <f>IFERROR(__xludf.DUMMYFUNCTION("""COMPUTED_VALUE"""),109.43)</f>
        <v>109.43</v>
      </c>
      <c r="F1370" s="1">
        <f>IFERROR(__xludf.DUMMYFUNCTION("""COMPUTED_VALUE"""),24611.0)</f>
        <v>24611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IFERROR(__xludf.DUMMYFUNCTION("""COMPUTED_VALUE"""),110.02)</f>
        <v>110.02</v>
      </c>
      <c r="C1371" s="1">
        <f>IFERROR(__xludf.DUMMYFUNCTION("""COMPUTED_VALUE"""),110.16)</f>
        <v>110.16</v>
      </c>
      <c r="D1371" s="1">
        <f>IFERROR(__xludf.DUMMYFUNCTION("""COMPUTED_VALUE"""),108.73)</f>
        <v>108.73</v>
      </c>
      <c r="E1371" s="1">
        <f>IFERROR(__xludf.DUMMYFUNCTION("""COMPUTED_VALUE"""),109.16)</f>
        <v>109.16</v>
      </c>
      <c r="F1371" s="1">
        <f>IFERROR(__xludf.DUMMYFUNCTION("""COMPUTED_VALUE"""),22121.0)</f>
        <v>22121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IFERROR(__xludf.DUMMYFUNCTION("""COMPUTED_VALUE"""),108.03)</f>
        <v>108.03</v>
      </c>
      <c r="C1372" s="1">
        <f>IFERROR(__xludf.DUMMYFUNCTION("""COMPUTED_VALUE"""),108.71)</f>
        <v>108.71</v>
      </c>
      <c r="D1372" s="1">
        <f>IFERROR(__xludf.DUMMYFUNCTION("""COMPUTED_VALUE"""),107.13)</f>
        <v>107.13</v>
      </c>
      <c r="E1372" s="1">
        <f>IFERROR(__xludf.DUMMYFUNCTION("""COMPUTED_VALUE"""),108.23)</f>
        <v>108.23</v>
      </c>
      <c r="F1372" s="1">
        <f>IFERROR(__xludf.DUMMYFUNCTION("""COMPUTED_VALUE"""),24269.0)</f>
        <v>24269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IFERROR(__xludf.DUMMYFUNCTION("""COMPUTED_VALUE"""),107.93)</f>
        <v>107.93</v>
      </c>
      <c r="C1373" s="1">
        <f>IFERROR(__xludf.DUMMYFUNCTION("""COMPUTED_VALUE"""),110.72)</f>
        <v>110.72</v>
      </c>
      <c r="D1373" s="1">
        <f>IFERROR(__xludf.DUMMYFUNCTION("""COMPUTED_VALUE"""),107.9)</f>
        <v>107.9</v>
      </c>
      <c r="E1373" s="1">
        <f>IFERROR(__xludf.DUMMYFUNCTION("""COMPUTED_VALUE"""),109.81)</f>
        <v>109.81</v>
      </c>
      <c r="F1373" s="1">
        <f>IFERROR(__xludf.DUMMYFUNCTION("""COMPUTED_VALUE"""),25708.0)</f>
        <v>25708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IFERROR(__xludf.DUMMYFUNCTION("""COMPUTED_VALUE"""),110.01)</f>
        <v>110.01</v>
      </c>
      <c r="C1374" s="1">
        <f>IFERROR(__xludf.DUMMYFUNCTION("""COMPUTED_VALUE"""),110.43)</f>
        <v>110.43</v>
      </c>
      <c r="D1374" s="1">
        <f>IFERROR(__xludf.DUMMYFUNCTION("""COMPUTED_VALUE"""),109.24)</f>
        <v>109.24</v>
      </c>
      <c r="E1374" s="1">
        <f>IFERROR(__xludf.DUMMYFUNCTION("""COMPUTED_VALUE"""),109.62)</f>
        <v>109.62</v>
      </c>
      <c r="F1374" s="1">
        <f>IFERROR(__xludf.DUMMYFUNCTION("""COMPUTED_VALUE"""),24584.0)</f>
        <v>24584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IFERROR(__xludf.DUMMYFUNCTION("""COMPUTED_VALUE"""),108.93)</f>
        <v>108.93</v>
      </c>
      <c r="C1375" s="1">
        <f>IFERROR(__xludf.DUMMYFUNCTION("""COMPUTED_VALUE"""),112.34)</f>
        <v>112.34</v>
      </c>
      <c r="D1375" s="1">
        <f>IFERROR(__xludf.DUMMYFUNCTION("""COMPUTED_VALUE"""),108.93)</f>
        <v>108.93</v>
      </c>
      <c r="E1375" s="1">
        <f>IFERROR(__xludf.DUMMYFUNCTION("""COMPUTED_VALUE"""),110.9)</f>
        <v>110.9</v>
      </c>
      <c r="F1375" s="1">
        <f>IFERROR(__xludf.DUMMYFUNCTION("""COMPUTED_VALUE"""),44063.0)</f>
        <v>44063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IFERROR(__xludf.DUMMYFUNCTION("""COMPUTED_VALUE"""),111.57)</f>
        <v>111.57</v>
      </c>
      <c r="C1376" s="1">
        <f>IFERROR(__xludf.DUMMYFUNCTION("""COMPUTED_VALUE"""),111.94)</f>
        <v>111.94</v>
      </c>
      <c r="D1376" s="1">
        <f>IFERROR(__xludf.DUMMYFUNCTION("""COMPUTED_VALUE"""),110.7)</f>
        <v>110.7</v>
      </c>
      <c r="E1376" s="1">
        <f>IFERROR(__xludf.DUMMYFUNCTION("""COMPUTED_VALUE"""),111.32)</f>
        <v>111.32</v>
      </c>
      <c r="F1376" s="1">
        <f>IFERROR(__xludf.DUMMYFUNCTION("""COMPUTED_VALUE"""),87799.0)</f>
        <v>87799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IFERROR(__xludf.DUMMYFUNCTION("""COMPUTED_VALUE"""),111.15)</f>
        <v>111.15</v>
      </c>
      <c r="C1377" s="1">
        <f>IFERROR(__xludf.DUMMYFUNCTION("""COMPUTED_VALUE"""),112.67)</f>
        <v>112.67</v>
      </c>
      <c r="D1377" s="1">
        <f>IFERROR(__xludf.DUMMYFUNCTION("""COMPUTED_VALUE"""),111.15)</f>
        <v>111.15</v>
      </c>
      <c r="E1377" s="1">
        <f>IFERROR(__xludf.DUMMYFUNCTION("""COMPUTED_VALUE"""),112.34)</f>
        <v>112.34</v>
      </c>
      <c r="F1377" s="1">
        <f>IFERROR(__xludf.DUMMYFUNCTION("""COMPUTED_VALUE"""),34296.0)</f>
        <v>34296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IFERROR(__xludf.DUMMYFUNCTION("""COMPUTED_VALUE"""),112.0)</f>
        <v>112</v>
      </c>
      <c r="C1378" s="1">
        <f>IFERROR(__xludf.DUMMYFUNCTION("""COMPUTED_VALUE"""),112.58)</f>
        <v>112.58</v>
      </c>
      <c r="D1378" s="1">
        <f>IFERROR(__xludf.DUMMYFUNCTION("""COMPUTED_VALUE"""),111.11)</f>
        <v>111.11</v>
      </c>
      <c r="E1378" s="1">
        <f>IFERROR(__xludf.DUMMYFUNCTION("""COMPUTED_VALUE"""),112.1)</f>
        <v>112.1</v>
      </c>
      <c r="F1378" s="1">
        <f>IFERROR(__xludf.DUMMYFUNCTION("""COMPUTED_VALUE"""),33401.0)</f>
        <v>33401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IFERROR(__xludf.DUMMYFUNCTION("""COMPUTED_VALUE"""),112.51)</f>
        <v>112.51</v>
      </c>
      <c r="C1379" s="1">
        <f>IFERROR(__xludf.DUMMYFUNCTION("""COMPUTED_VALUE"""),112.51)</f>
        <v>112.51</v>
      </c>
      <c r="D1379" s="1">
        <f>IFERROR(__xludf.DUMMYFUNCTION("""COMPUTED_VALUE"""),110.51)</f>
        <v>110.51</v>
      </c>
      <c r="E1379" s="1">
        <f>IFERROR(__xludf.DUMMYFUNCTION("""COMPUTED_VALUE"""),111.51)</f>
        <v>111.51</v>
      </c>
      <c r="F1379" s="1">
        <f>IFERROR(__xludf.DUMMYFUNCTION("""COMPUTED_VALUE"""),51664.0)</f>
        <v>51664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IFERROR(__xludf.DUMMYFUNCTION("""COMPUTED_VALUE"""),112.21)</f>
        <v>112.21</v>
      </c>
      <c r="C1380" s="1">
        <f>IFERROR(__xludf.DUMMYFUNCTION("""COMPUTED_VALUE"""),112.86)</f>
        <v>112.86</v>
      </c>
      <c r="D1380" s="1">
        <f>IFERROR(__xludf.DUMMYFUNCTION("""COMPUTED_VALUE"""),111.45)</f>
        <v>111.45</v>
      </c>
      <c r="E1380" s="1">
        <f>IFERROR(__xludf.DUMMYFUNCTION("""COMPUTED_VALUE"""),112.44)</f>
        <v>112.44</v>
      </c>
      <c r="F1380" s="1">
        <f>IFERROR(__xludf.DUMMYFUNCTION("""COMPUTED_VALUE"""),39695.0)</f>
        <v>39695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IFERROR(__xludf.DUMMYFUNCTION("""COMPUTED_VALUE"""),113.11)</f>
        <v>113.11</v>
      </c>
      <c r="C1381" s="1">
        <f>IFERROR(__xludf.DUMMYFUNCTION("""COMPUTED_VALUE"""),113.94)</f>
        <v>113.94</v>
      </c>
      <c r="D1381" s="1">
        <f>IFERROR(__xludf.DUMMYFUNCTION("""COMPUTED_VALUE"""),111.99)</f>
        <v>111.99</v>
      </c>
      <c r="E1381" s="1">
        <f>IFERROR(__xludf.DUMMYFUNCTION("""COMPUTED_VALUE"""),112.41)</f>
        <v>112.41</v>
      </c>
      <c r="F1381" s="1">
        <f>IFERROR(__xludf.DUMMYFUNCTION("""COMPUTED_VALUE"""),112337.0)</f>
        <v>112337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IFERROR(__xludf.DUMMYFUNCTION("""COMPUTED_VALUE"""),112.45)</f>
        <v>112.45</v>
      </c>
      <c r="C1382" s="1">
        <f>IFERROR(__xludf.DUMMYFUNCTION("""COMPUTED_VALUE"""),113.27)</f>
        <v>113.27</v>
      </c>
      <c r="D1382" s="1">
        <f>IFERROR(__xludf.DUMMYFUNCTION("""COMPUTED_VALUE"""),110.73)</f>
        <v>110.73</v>
      </c>
      <c r="E1382" s="1">
        <f>IFERROR(__xludf.DUMMYFUNCTION("""COMPUTED_VALUE"""),110.86)</f>
        <v>110.86</v>
      </c>
      <c r="F1382" s="1">
        <f>IFERROR(__xludf.DUMMYFUNCTION("""COMPUTED_VALUE"""),42230.0)</f>
        <v>42230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IFERROR(__xludf.DUMMYFUNCTION("""COMPUTED_VALUE"""),111.01)</f>
        <v>111.01</v>
      </c>
      <c r="C1383" s="1">
        <f>IFERROR(__xludf.DUMMYFUNCTION("""COMPUTED_VALUE"""),112.34)</f>
        <v>112.34</v>
      </c>
      <c r="D1383" s="1">
        <f>IFERROR(__xludf.DUMMYFUNCTION("""COMPUTED_VALUE"""),109.98)</f>
        <v>109.98</v>
      </c>
      <c r="E1383" s="1">
        <f>IFERROR(__xludf.DUMMYFUNCTION("""COMPUTED_VALUE"""),110.67)</f>
        <v>110.67</v>
      </c>
      <c r="F1383" s="1">
        <f>IFERROR(__xludf.DUMMYFUNCTION("""COMPUTED_VALUE"""),76532.0)</f>
        <v>76532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IFERROR(__xludf.DUMMYFUNCTION("""COMPUTED_VALUE"""),111.5)</f>
        <v>111.5</v>
      </c>
      <c r="C1384" s="1">
        <f>IFERROR(__xludf.DUMMYFUNCTION("""COMPUTED_VALUE"""),112.84)</f>
        <v>112.84</v>
      </c>
      <c r="D1384" s="1">
        <f>IFERROR(__xludf.DUMMYFUNCTION("""COMPUTED_VALUE"""),109.49)</f>
        <v>109.49</v>
      </c>
      <c r="E1384" s="1">
        <f>IFERROR(__xludf.DUMMYFUNCTION("""COMPUTED_VALUE"""),112.82)</f>
        <v>112.82</v>
      </c>
      <c r="F1384" s="1">
        <f>IFERROR(__xludf.DUMMYFUNCTION("""COMPUTED_VALUE"""),77754.0)</f>
        <v>77754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IFERROR(__xludf.DUMMYFUNCTION("""COMPUTED_VALUE"""),112.2)</f>
        <v>112.2</v>
      </c>
      <c r="C1385" s="1">
        <f>IFERROR(__xludf.DUMMYFUNCTION("""COMPUTED_VALUE"""),112.79)</f>
        <v>112.79</v>
      </c>
      <c r="D1385" s="1">
        <f>IFERROR(__xludf.DUMMYFUNCTION("""COMPUTED_VALUE"""),110.31)</f>
        <v>110.31</v>
      </c>
      <c r="E1385" s="1">
        <f>IFERROR(__xludf.DUMMYFUNCTION("""COMPUTED_VALUE"""),111.84)</f>
        <v>111.84</v>
      </c>
      <c r="F1385" s="1">
        <f>IFERROR(__xludf.DUMMYFUNCTION("""COMPUTED_VALUE"""),40789.0)</f>
        <v>40789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IFERROR(__xludf.DUMMYFUNCTION("""COMPUTED_VALUE"""),111.6)</f>
        <v>111.6</v>
      </c>
      <c r="C1386" s="1">
        <f>IFERROR(__xludf.DUMMYFUNCTION("""COMPUTED_VALUE"""),112.08)</f>
        <v>112.08</v>
      </c>
      <c r="D1386" s="1">
        <f>IFERROR(__xludf.DUMMYFUNCTION("""COMPUTED_VALUE"""),110.62)</f>
        <v>110.62</v>
      </c>
      <c r="E1386" s="1">
        <f>IFERROR(__xludf.DUMMYFUNCTION("""COMPUTED_VALUE"""),111.81)</f>
        <v>111.81</v>
      </c>
      <c r="F1386" s="1">
        <f>IFERROR(__xludf.DUMMYFUNCTION("""COMPUTED_VALUE"""),45634.0)</f>
        <v>45634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IFERROR(__xludf.DUMMYFUNCTION("""COMPUTED_VALUE"""),111.35)</f>
        <v>111.35</v>
      </c>
      <c r="C1387" s="1">
        <f>IFERROR(__xludf.DUMMYFUNCTION("""COMPUTED_VALUE"""),114.16)</f>
        <v>114.16</v>
      </c>
      <c r="D1387" s="1">
        <f>IFERROR(__xludf.DUMMYFUNCTION("""COMPUTED_VALUE"""),111.22)</f>
        <v>111.22</v>
      </c>
      <c r="E1387" s="1">
        <f>IFERROR(__xludf.DUMMYFUNCTION("""COMPUTED_VALUE"""),113.8)</f>
        <v>113.8</v>
      </c>
      <c r="F1387" s="1">
        <f>IFERROR(__xludf.DUMMYFUNCTION("""COMPUTED_VALUE"""),67539.0)</f>
        <v>67539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IFERROR(__xludf.DUMMYFUNCTION("""COMPUTED_VALUE"""),113.25)</f>
        <v>113.25</v>
      </c>
      <c r="C1388" s="1">
        <f>IFERROR(__xludf.DUMMYFUNCTION("""COMPUTED_VALUE"""),113.25)</f>
        <v>113.25</v>
      </c>
      <c r="D1388" s="1">
        <f>IFERROR(__xludf.DUMMYFUNCTION("""COMPUTED_VALUE"""),110.2)</f>
        <v>110.2</v>
      </c>
      <c r="E1388" s="1">
        <f>IFERROR(__xludf.DUMMYFUNCTION("""COMPUTED_VALUE"""),111.32)</f>
        <v>111.32</v>
      </c>
      <c r="F1388" s="1">
        <f>IFERROR(__xludf.DUMMYFUNCTION("""COMPUTED_VALUE"""),106073.0)</f>
        <v>106073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IFERROR(__xludf.DUMMYFUNCTION("""COMPUTED_VALUE"""),112.32)</f>
        <v>112.32</v>
      </c>
      <c r="C1389" s="1">
        <f>IFERROR(__xludf.DUMMYFUNCTION("""COMPUTED_VALUE"""),112.47)</f>
        <v>112.47</v>
      </c>
      <c r="D1389" s="1">
        <f>IFERROR(__xludf.DUMMYFUNCTION("""COMPUTED_VALUE"""),109.64)</f>
        <v>109.64</v>
      </c>
      <c r="E1389" s="1">
        <f>IFERROR(__xludf.DUMMYFUNCTION("""COMPUTED_VALUE"""),110.46)</f>
        <v>110.46</v>
      </c>
      <c r="F1389" s="1">
        <f>IFERROR(__xludf.DUMMYFUNCTION("""COMPUTED_VALUE"""),58779.0)</f>
        <v>58779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IFERROR(__xludf.DUMMYFUNCTION("""COMPUTED_VALUE"""),111.41)</f>
        <v>111.41</v>
      </c>
      <c r="C1390" s="1">
        <f>IFERROR(__xludf.DUMMYFUNCTION("""COMPUTED_VALUE"""),112.34)</f>
        <v>112.34</v>
      </c>
      <c r="D1390" s="1">
        <f>IFERROR(__xludf.DUMMYFUNCTION("""COMPUTED_VALUE"""),110.1)</f>
        <v>110.1</v>
      </c>
      <c r="E1390" s="1">
        <f>IFERROR(__xludf.DUMMYFUNCTION("""COMPUTED_VALUE"""),112.14)</f>
        <v>112.14</v>
      </c>
      <c r="F1390" s="1">
        <f>IFERROR(__xludf.DUMMYFUNCTION("""COMPUTED_VALUE"""),44673.0)</f>
        <v>44673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IFERROR(__xludf.DUMMYFUNCTION("""COMPUTED_VALUE"""),112.93)</f>
        <v>112.93</v>
      </c>
      <c r="C1391" s="1">
        <f>IFERROR(__xludf.DUMMYFUNCTION("""COMPUTED_VALUE"""),113.61)</f>
        <v>113.61</v>
      </c>
      <c r="D1391" s="1">
        <f>IFERROR(__xludf.DUMMYFUNCTION("""COMPUTED_VALUE"""),111.65)</f>
        <v>111.65</v>
      </c>
      <c r="E1391" s="1">
        <f>IFERROR(__xludf.DUMMYFUNCTION("""COMPUTED_VALUE"""),113.42)</f>
        <v>113.42</v>
      </c>
      <c r="F1391" s="1">
        <f>IFERROR(__xludf.DUMMYFUNCTION("""COMPUTED_VALUE"""),68679.0)</f>
        <v>68679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IFERROR(__xludf.DUMMYFUNCTION("""COMPUTED_VALUE"""),113.75)</f>
        <v>113.75</v>
      </c>
      <c r="C1392" s="1">
        <f>IFERROR(__xludf.DUMMYFUNCTION("""COMPUTED_VALUE"""),113.91)</f>
        <v>113.91</v>
      </c>
      <c r="D1392" s="1">
        <f>IFERROR(__xludf.DUMMYFUNCTION("""COMPUTED_VALUE"""),112.12)</f>
        <v>112.12</v>
      </c>
      <c r="E1392" s="1">
        <f>IFERROR(__xludf.DUMMYFUNCTION("""COMPUTED_VALUE"""),113.42)</f>
        <v>113.42</v>
      </c>
      <c r="F1392" s="1">
        <f>IFERROR(__xludf.DUMMYFUNCTION("""COMPUTED_VALUE"""),37918.0)</f>
        <v>37918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IFERROR(__xludf.DUMMYFUNCTION("""COMPUTED_VALUE"""),112.78)</f>
        <v>112.78</v>
      </c>
      <c r="C1393" s="1">
        <f>IFERROR(__xludf.DUMMYFUNCTION("""COMPUTED_VALUE"""),114.04)</f>
        <v>114.04</v>
      </c>
      <c r="D1393" s="1">
        <f>IFERROR(__xludf.DUMMYFUNCTION("""COMPUTED_VALUE"""),110.67)</f>
        <v>110.67</v>
      </c>
      <c r="E1393" s="1">
        <f>IFERROR(__xludf.DUMMYFUNCTION("""COMPUTED_VALUE"""),111.86)</f>
        <v>111.86</v>
      </c>
      <c r="F1393" s="1">
        <f>IFERROR(__xludf.DUMMYFUNCTION("""COMPUTED_VALUE"""),65543.0)</f>
        <v>65543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IFERROR(__xludf.DUMMYFUNCTION("""COMPUTED_VALUE"""),112.28)</f>
        <v>112.28</v>
      </c>
      <c r="C1394" s="1">
        <f>IFERROR(__xludf.DUMMYFUNCTION("""COMPUTED_VALUE"""),113.5)</f>
        <v>113.5</v>
      </c>
      <c r="D1394" s="1">
        <f>IFERROR(__xludf.DUMMYFUNCTION("""COMPUTED_VALUE"""),112.0)</f>
        <v>112</v>
      </c>
      <c r="E1394" s="1">
        <f>IFERROR(__xludf.DUMMYFUNCTION("""COMPUTED_VALUE"""),113.23)</f>
        <v>113.23</v>
      </c>
      <c r="F1394" s="1">
        <f>IFERROR(__xludf.DUMMYFUNCTION("""COMPUTED_VALUE"""),45990.0)</f>
        <v>45990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IFERROR(__xludf.DUMMYFUNCTION("""COMPUTED_VALUE"""),113.64)</f>
        <v>113.64</v>
      </c>
      <c r="C1395" s="1">
        <f>IFERROR(__xludf.DUMMYFUNCTION("""COMPUTED_VALUE"""),113.64)</f>
        <v>113.64</v>
      </c>
      <c r="D1395" s="1">
        <f>IFERROR(__xludf.DUMMYFUNCTION("""COMPUTED_VALUE"""),111.96)</f>
        <v>111.96</v>
      </c>
      <c r="E1395" s="1">
        <f>IFERROR(__xludf.DUMMYFUNCTION("""COMPUTED_VALUE"""),113.24)</f>
        <v>113.24</v>
      </c>
      <c r="F1395" s="1">
        <f>IFERROR(__xludf.DUMMYFUNCTION("""COMPUTED_VALUE"""),32064.0)</f>
        <v>32064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IFERROR(__xludf.DUMMYFUNCTION("""COMPUTED_VALUE"""),113.69)</f>
        <v>113.69</v>
      </c>
      <c r="C1396" s="1">
        <f>IFERROR(__xludf.DUMMYFUNCTION("""COMPUTED_VALUE"""),113.7)</f>
        <v>113.7</v>
      </c>
      <c r="D1396" s="1">
        <f>IFERROR(__xludf.DUMMYFUNCTION("""COMPUTED_VALUE"""),112.28)</f>
        <v>112.28</v>
      </c>
      <c r="E1396" s="1">
        <f>IFERROR(__xludf.DUMMYFUNCTION("""COMPUTED_VALUE"""),113.15)</f>
        <v>113.15</v>
      </c>
      <c r="F1396" s="1">
        <f>IFERROR(__xludf.DUMMYFUNCTION("""COMPUTED_VALUE"""),33870.0)</f>
        <v>33870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IFERROR(__xludf.DUMMYFUNCTION("""COMPUTED_VALUE"""),113.25)</f>
        <v>113.25</v>
      </c>
      <c r="C1397" s="1">
        <f>IFERROR(__xludf.DUMMYFUNCTION("""COMPUTED_VALUE"""),113.25)</f>
        <v>113.25</v>
      </c>
      <c r="D1397" s="1">
        <f>IFERROR(__xludf.DUMMYFUNCTION("""COMPUTED_VALUE"""),111.16)</f>
        <v>111.16</v>
      </c>
      <c r="E1397" s="1">
        <f>IFERROR(__xludf.DUMMYFUNCTION("""COMPUTED_VALUE"""),112.13)</f>
        <v>112.13</v>
      </c>
      <c r="F1397" s="1">
        <f>IFERROR(__xludf.DUMMYFUNCTION("""COMPUTED_VALUE"""),40288.0)</f>
        <v>40288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IFERROR(__xludf.DUMMYFUNCTION("""COMPUTED_VALUE"""),112.25)</f>
        <v>112.25</v>
      </c>
      <c r="C1398" s="1">
        <f>IFERROR(__xludf.DUMMYFUNCTION("""COMPUTED_VALUE"""),113.76)</f>
        <v>113.76</v>
      </c>
      <c r="D1398" s="1">
        <f>IFERROR(__xludf.DUMMYFUNCTION("""COMPUTED_VALUE"""),112.17)</f>
        <v>112.17</v>
      </c>
      <c r="E1398" s="1">
        <f>IFERROR(__xludf.DUMMYFUNCTION("""COMPUTED_VALUE"""),113.66)</f>
        <v>113.66</v>
      </c>
      <c r="F1398" s="1">
        <f>IFERROR(__xludf.DUMMYFUNCTION("""COMPUTED_VALUE"""),33716.0)</f>
        <v>33716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IFERROR(__xludf.DUMMYFUNCTION("""COMPUTED_VALUE"""),114.02)</f>
        <v>114.02</v>
      </c>
      <c r="C1399" s="1">
        <f>IFERROR(__xludf.DUMMYFUNCTION("""COMPUTED_VALUE"""),114.02)</f>
        <v>114.02</v>
      </c>
      <c r="D1399" s="1">
        <f>IFERROR(__xludf.DUMMYFUNCTION("""COMPUTED_VALUE"""),110.49)</f>
        <v>110.49</v>
      </c>
      <c r="E1399" s="1">
        <f>IFERROR(__xludf.DUMMYFUNCTION("""COMPUTED_VALUE"""),111.1)</f>
        <v>111.1</v>
      </c>
      <c r="F1399" s="1">
        <f>IFERROR(__xludf.DUMMYFUNCTION("""COMPUTED_VALUE"""),67985.0)</f>
        <v>67985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IFERROR(__xludf.DUMMYFUNCTION("""COMPUTED_VALUE"""),111.06)</f>
        <v>111.06</v>
      </c>
      <c r="C1400" s="1">
        <f>IFERROR(__xludf.DUMMYFUNCTION("""COMPUTED_VALUE"""),112.28)</f>
        <v>112.28</v>
      </c>
      <c r="D1400" s="1">
        <f>IFERROR(__xludf.DUMMYFUNCTION("""COMPUTED_VALUE"""),109.93)</f>
        <v>109.93</v>
      </c>
      <c r="E1400" s="1">
        <f>IFERROR(__xludf.DUMMYFUNCTION("""COMPUTED_VALUE"""),109.96)</f>
        <v>109.96</v>
      </c>
      <c r="F1400" s="1">
        <f>IFERROR(__xludf.DUMMYFUNCTION("""COMPUTED_VALUE"""),48128.0)</f>
        <v>48128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IFERROR(__xludf.DUMMYFUNCTION("""COMPUTED_VALUE"""),109.88)</f>
        <v>109.88</v>
      </c>
      <c r="C1401" s="1">
        <f>IFERROR(__xludf.DUMMYFUNCTION("""COMPUTED_VALUE"""),111.75)</f>
        <v>111.75</v>
      </c>
      <c r="D1401" s="1">
        <f>IFERROR(__xludf.DUMMYFUNCTION("""COMPUTED_VALUE"""),109.57)</f>
        <v>109.57</v>
      </c>
      <c r="E1401" s="1">
        <f>IFERROR(__xludf.DUMMYFUNCTION("""COMPUTED_VALUE"""),110.79)</f>
        <v>110.79</v>
      </c>
      <c r="F1401" s="1">
        <f>IFERROR(__xludf.DUMMYFUNCTION("""COMPUTED_VALUE"""),62720.0)</f>
        <v>62720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IFERROR(__xludf.DUMMYFUNCTION("""COMPUTED_VALUE"""),110.43)</f>
        <v>110.43</v>
      </c>
      <c r="C1402" s="1">
        <f>IFERROR(__xludf.DUMMYFUNCTION("""COMPUTED_VALUE"""),118.17)</f>
        <v>118.17</v>
      </c>
      <c r="D1402" s="1">
        <f>IFERROR(__xludf.DUMMYFUNCTION("""COMPUTED_VALUE"""),108.21)</f>
        <v>108.21</v>
      </c>
      <c r="E1402" s="1">
        <f>IFERROR(__xludf.DUMMYFUNCTION("""COMPUTED_VALUE"""),115.9)</f>
        <v>115.9</v>
      </c>
      <c r="F1402" s="1">
        <f>IFERROR(__xludf.DUMMYFUNCTION("""COMPUTED_VALUE"""),134346.0)</f>
        <v>134346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IFERROR(__xludf.DUMMYFUNCTION("""COMPUTED_VALUE"""),115.9)</f>
        <v>115.9</v>
      </c>
      <c r="C1403" s="1">
        <f>IFERROR(__xludf.DUMMYFUNCTION("""COMPUTED_VALUE"""),116.5)</f>
        <v>116.5</v>
      </c>
      <c r="D1403" s="1">
        <f>IFERROR(__xludf.DUMMYFUNCTION("""COMPUTED_VALUE"""),114.85)</f>
        <v>114.85</v>
      </c>
      <c r="E1403" s="1">
        <f>IFERROR(__xludf.DUMMYFUNCTION("""COMPUTED_VALUE"""),114.97)</f>
        <v>114.97</v>
      </c>
      <c r="F1403" s="1">
        <f>IFERROR(__xludf.DUMMYFUNCTION("""COMPUTED_VALUE"""),108271.0)</f>
        <v>108271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IFERROR(__xludf.DUMMYFUNCTION("""COMPUTED_VALUE"""),114.15)</f>
        <v>114.15</v>
      </c>
      <c r="C1404" s="1">
        <f>IFERROR(__xludf.DUMMYFUNCTION("""COMPUTED_VALUE"""),116.74)</f>
        <v>116.74</v>
      </c>
      <c r="D1404" s="1">
        <f>IFERROR(__xludf.DUMMYFUNCTION("""COMPUTED_VALUE"""),113.78)</f>
        <v>113.78</v>
      </c>
      <c r="E1404" s="1">
        <f>IFERROR(__xludf.DUMMYFUNCTION("""COMPUTED_VALUE"""),116.13)</f>
        <v>116.13</v>
      </c>
      <c r="F1404" s="1">
        <f>IFERROR(__xludf.DUMMYFUNCTION("""COMPUTED_VALUE"""),76910.0)</f>
        <v>76910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IFERROR(__xludf.DUMMYFUNCTION("""COMPUTED_VALUE"""),116.65)</f>
        <v>116.65</v>
      </c>
      <c r="C1405" s="1">
        <f>IFERROR(__xludf.DUMMYFUNCTION("""COMPUTED_VALUE"""),119.25)</f>
        <v>119.25</v>
      </c>
      <c r="D1405" s="1">
        <f>IFERROR(__xludf.DUMMYFUNCTION("""COMPUTED_VALUE"""),115.86)</f>
        <v>115.86</v>
      </c>
      <c r="E1405" s="1">
        <f>IFERROR(__xludf.DUMMYFUNCTION("""COMPUTED_VALUE"""),118.36)</f>
        <v>118.36</v>
      </c>
      <c r="F1405" s="1">
        <f>IFERROR(__xludf.DUMMYFUNCTION("""COMPUTED_VALUE"""),68920.0)</f>
        <v>68920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IFERROR(__xludf.DUMMYFUNCTION("""COMPUTED_VALUE"""),118.09)</f>
        <v>118.09</v>
      </c>
      <c r="C1406" s="1">
        <f>IFERROR(__xludf.DUMMYFUNCTION("""COMPUTED_VALUE"""),118.33)</f>
        <v>118.33</v>
      </c>
      <c r="D1406" s="1">
        <f>IFERROR(__xludf.DUMMYFUNCTION("""COMPUTED_VALUE"""),116.14)</f>
        <v>116.14</v>
      </c>
      <c r="E1406" s="1">
        <f>IFERROR(__xludf.DUMMYFUNCTION("""COMPUTED_VALUE"""),117.86)</f>
        <v>117.86</v>
      </c>
      <c r="F1406" s="1">
        <f>IFERROR(__xludf.DUMMYFUNCTION("""COMPUTED_VALUE"""),43453.0)</f>
        <v>43453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IFERROR(__xludf.DUMMYFUNCTION("""COMPUTED_VALUE"""),118.44)</f>
        <v>118.44</v>
      </c>
      <c r="C1407" s="1">
        <f>IFERROR(__xludf.DUMMYFUNCTION("""COMPUTED_VALUE"""),118.5)</f>
        <v>118.5</v>
      </c>
      <c r="D1407" s="1">
        <f>IFERROR(__xludf.DUMMYFUNCTION("""COMPUTED_VALUE"""),116.0)</f>
        <v>116</v>
      </c>
      <c r="E1407" s="1">
        <f>IFERROR(__xludf.DUMMYFUNCTION("""COMPUTED_VALUE"""),116.54)</f>
        <v>116.54</v>
      </c>
      <c r="F1407" s="1">
        <f>IFERROR(__xludf.DUMMYFUNCTION("""COMPUTED_VALUE"""),78187.0)</f>
        <v>78187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IFERROR(__xludf.DUMMYFUNCTION("""COMPUTED_VALUE"""),116.61)</f>
        <v>116.61</v>
      </c>
      <c r="C1408" s="1">
        <f>IFERROR(__xludf.DUMMYFUNCTION("""COMPUTED_VALUE"""),118.22)</f>
        <v>118.22</v>
      </c>
      <c r="D1408" s="1">
        <f>IFERROR(__xludf.DUMMYFUNCTION("""COMPUTED_VALUE"""),116.43)</f>
        <v>116.43</v>
      </c>
      <c r="E1408" s="1">
        <f>IFERROR(__xludf.DUMMYFUNCTION("""COMPUTED_VALUE"""),117.65)</f>
        <v>117.65</v>
      </c>
      <c r="F1408" s="1">
        <f>IFERROR(__xludf.DUMMYFUNCTION("""COMPUTED_VALUE"""),40352.0)</f>
        <v>40352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IFERROR(__xludf.DUMMYFUNCTION("""COMPUTED_VALUE"""),118.0)</f>
        <v>118</v>
      </c>
      <c r="C1409" s="1">
        <f>IFERROR(__xludf.DUMMYFUNCTION("""COMPUTED_VALUE"""),118.1)</f>
        <v>118.1</v>
      </c>
      <c r="D1409" s="1">
        <f>IFERROR(__xludf.DUMMYFUNCTION("""COMPUTED_VALUE"""),115.15)</f>
        <v>115.15</v>
      </c>
      <c r="E1409" s="1">
        <f>IFERROR(__xludf.DUMMYFUNCTION("""COMPUTED_VALUE"""),118.01)</f>
        <v>118.01</v>
      </c>
      <c r="F1409" s="1">
        <f>IFERROR(__xludf.DUMMYFUNCTION("""COMPUTED_VALUE"""),53840.0)</f>
        <v>53840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IFERROR(__xludf.DUMMYFUNCTION("""COMPUTED_VALUE"""),117.79)</f>
        <v>117.79</v>
      </c>
      <c r="C1410" s="1">
        <f>IFERROR(__xludf.DUMMYFUNCTION("""COMPUTED_VALUE"""),118.31)</f>
        <v>118.31</v>
      </c>
      <c r="D1410" s="1">
        <f>IFERROR(__xludf.DUMMYFUNCTION("""COMPUTED_VALUE"""),115.84)</f>
        <v>115.84</v>
      </c>
      <c r="E1410" s="1">
        <f>IFERROR(__xludf.DUMMYFUNCTION("""COMPUTED_VALUE"""),118.01)</f>
        <v>118.01</v>
      </c>
      <c r="F1410" s="1">
        <f>IFERROR(__xludf.DUMMYFUNCTION("""COMPUTED_VALUE"""),46083.0)</f>
        <v>46083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IFERROR(__xludf.DUMMYFUNCTION("""COMPUTED_VALUE"""),118.3)</f>
        <v>118.3</v>
      </c>
      <c r="C1411" s="1">
        <f>IFERROR(__xludf.DUMMYFUNCTION("""COMPUTED_VALUE"""),119.07)</f>
        <v>119.07</v>
      </c>
      <c r="D1411" s="1">
        <f>IFERROR(__xludf.DUMMYFUNCTION("""COMPUTED_VALUE"""),117.52)</f>
        <v>117.52</v>
      </c>
      <c r="E1411" s="1">
        <f>IFERROR(__xludf.DUMMYFUNCTION("""COMPUTED_VALUE"""),118.03)</f>
        <v>118.03</v>
      </c>
      <c r="F1411" s="1">
        <f>IFERROR(__xludf.DUMMYFUNCTION("""COMPUTED_VALUE"""),52825.0)</f>
        <v>52825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IFERROR(__xludf.DUMMYFUNCTION("""COMPUTED_VALUE"""),117.17)</f>
        <v>117.17</v>
      </c>
      <c r="C1412" s="1">
        <f>IFERROR(__xludf.DUMMYFUNCTION("""COMPUTED_VALUE"""),118.49)</f>
        <v>118.49</v>
      </c>
      <c r="D1412" s="1">
        <f>IFERROR(__xludf.DUMMYFUNCTION("""COMPUTED_VALUE"""),116.91)</f>
        <v>116.91</v>
      </c>
      <c r="E1412" s="1">
        <f>IFERROR(__xludf.DUMMYFUNCTION("""COMPUTED_VALUE"""),118.16)</f>
        <v>118.16</v>
      </c>
      <c r="F1412" s="1">
        <f>IFERROR(__xludf.DUMMYFUNCTION("""COMPUTED_VALUE"""),32188.0)</f>
        <v>32188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IFERROR(__xludf.DUMMYFUNCTION("""COMPUTED_VALUE"""),117.18)</f>
        <v>117.18</v>
      </c>
      <c r="C1413" s="1">
        <f>IFERROR(__xludf.DUMMYFUNCTION("""COMPUTED_VALUE"""),118.31)</f>
        <v>118.31</v>
      </c>
      <c r="D1413" s="1">
        <f>IFERROR(__xludf.DUMMYFUNCTION("""COMPUTED_VALUE"""),116.26)</f>
        <v>116.26</v>
      </c>
      <c r="E1413" s="1">
        <f>IFERROR(__xludf.DUMMYFUNCTION("""COMPUTED_VALUE"""),117.5)</f>
        <v>117.5</v>
      </c>
      <c r="F1413" s="1">
        <f>IFERROR(__xludf.DUMMYFUNCTION("""COMPUTED_VALUE"""),48359.0)</f>
        <v>48359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IFERROR(__xludf.DUMMYFUNCTION("""COMPUTED_VALUE"""),117.27)</f>
        <v>117.27</v>
      </c>
      <c r="C1414" s="1">
        <f>IFERROR(__xludf.DUMMYFUNCTION("""COMPUTED_VALUE"""),118.62)</f>
        <v>118.62</v>
      </c>
      <c r="D1414" s="1">
        <f>IFERROR(__xludf.DUMMYFUNCTION("""COMPUTED_VALUE"""),116.69)</f>
        <v>116.69</v>
      </c>
      <c r="E1414" s="1">
        <f>IFERROR(__xludf.DUMMYFUNCTION("""COMPUTED_VALUE"""),117.65)</f>
        <v>117.65</v>
      </c>
      <c r="F1414" s="1">
        <f>IFERROR(__xludf.DUMMYFUNCTION("""COMPUTED_VALUE"""),43779.0)</f>
        <v>43779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IFERROR(__xludf.DUMMYFUNCTION("""COMPUTED_VALUE"""),116.99)</f>
        <v>116.99</v>
      </c>
      <c r="C1415" s="1">
        <f>IFERROR(__xludf.DUMMYFUNCTION("""COMPUTED_VALUE"""),119.01)</f>
        <v>119.01</v>
      </c>
      <c r="D1415" s="1">
        <f>IFERROR(__xludf.DUMMYFUNCTION("""COMPUTED_VALUE"""),116.99)</f>
        <v>116.99</v>
      </c>
      <c r="E1415" s="1">
        <f>IFERROR(__xludf.DUMMYFUNCTION("""COMPUTED_VALUE"""),118.66)</f>
        <v>118.66</v>
      </c>
      <c r="F1415" s="1">
        <f>IFERROR(__xludf.DUMMYFUNCTION("""COMPUTED_VALUE"""),34985.0)</f>
        <v>34985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IFERROR(__xludf.DUMMYFUNCTION("""COMPUTED_VALUE"""),118.01)</f>
        <v>118.01</v>
      </c>
      <c r="C1416" s="1">
        <f>IFERROR(__xludf.DUMMYFUNCTION("""COMPUTED_VALUE"""),119.27)</f>
        <v>119.27</v>
      </c>
      <c r="D1416" s="1">
        <f>IFERROR(__xludf.DUMMYFUNCTION("""COMPUTED_VALUE"""),117.63)</f>
        <v>117.63</v>
      </c>
      <c r="E1416" s="1">
        <f>IFERROR(__xludf.DUMMYFUNCTION("""COMPUTED_VALUE"""),119.16)</f>
        <v>119.16</v>
      </c>
      <c r="F1416" s="1">
        <f>IFERROR(__xludf.DUMMYFUNCTION("""COMPUTED_VALUE"""),44123.0)</f>
        <v>44123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IFERROR(__xludf.DUMMYFUNCTION("""COMPUTED_VALUE"""),118.41)</f>
        <v>118.41</v>
      </c>
      <c r="C1417" s="1">
        <f>IFERROR(__xludf.DUMMYFUNCTION("""COMPUTED_VALUE"""),119.43)</f>
        <v>119.43</v>
      </c>
      <c r="D1417" s="1">
        <f>IFERROR(__xludf.DUMMYFUNCTION("""COMPUTED_VALUE"""),118.36)</f>
        <v>118.36</v>
      </c>
      <c r="E1417" s="1">
        <f>IFERROR(__xludf.DUMMYFUNCTION("""COMPUTED_VALUE"""),118.8)</f>
        <v>118.8</v>
      </c>
      <c r="F1417" s="1">
        <f>IFERROR(__xludf.DUMMYFUNCTION("""COMPUTED_VALUE"""),51420.0)</f>
        <v>51420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IFERROR(__xludf.DUMMYFUNCTION("""COMPUTED_VALUE"""),118.67)</f>
        <v>118.67</v>
      </c>
      <c r="C1418" s="1">
        <f>IFERROR(__xludf.DUMMYFUNCTION("""COMPUTED_VALUE"""),118.83)</f>
        <v>118.83</v>
      </c>
      <c r="D1418" s="1">
        <f>IFERROR(__xludf.DUMMYFUNCTION("""COMPUTED_VALUE"""),117.49)</f>
        <v>117.49</v>
      </c>
      <c r="E1418" s="1">
        <f>IFERROR(__xludf.DUMMYFUNCTION("""COMPUTED_VALUE"""),118.09)</f>
        <v>118.09</v>
      </c>
      <c r="F1418" s="1">
        <f>IFERROR(__xludf.DUMMYFUNCTION("""COMPUTED_VALUE"""),49595.0)</f>
        <v>49595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IFERROR(__xludf.DUMMYFUNCTION("""COMPUTED_VALUE"""),117.5)</f>
        <v>117.5</v>
      </c>
      <c r="C1419" s="1">
        <f>IFERROR(__xludf.DUMMYFUNCTION("""COMPUTED_VALUE"""),118.19)</f>
        <v>118.19</v>
      </c>
      <c r="D1419" s="1">
        <f>IFERROR(__xludf.DUMMYFUNCTION("""COMPUTED_VALUE"""),116.37)</f>
        <v>116.37</v>
      </c>
      <c r="E1419" s="1">
        <f>IFERROR(__xludf.DUMMYFUNCTION("""COMPUTED_VALUE"""),116.5)</f>
        <v>116.5</v>
      </c>
      <c r="F1419" s="1">
        <f>IFERROR(__xludf.DUMMYFUNCTION("""COMPUTED_VALUE"""),48727.0)</f>
        <v>48727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IFERROR(__xludf.DUMMYFUNCTION("""COMPUTED_VALUE"""),114.55)</f>
        <v>114.55</v>
      </c>
      <c r="C1420" s="1">
        <f>IFERROR(__xludf.DUMMYFUNCTION("""COMPUTED_VALUE"""),115.88)</f>
        <v>115.88</v>
      </c>
      <c r="D1420" s="1">
        <f>IFERROR(__xludf.DUMMYFUNCTION("""COMPUTED_VALUE"""),112.85)</f>
        <v>112.85</v>
      </c>
      <c r="E1420" s="1">
        <f>IFERROR(__xludf.DUMMYFUNCTION("""COMPUTED_VALUE"""),113.14)</f>
        <v>113.14</v>
      </c>
      <c r="F1420" s="1">
        <f>IFERROR(__xludf.DUMMYFUNCTION("""COMPUTED_VALUE"""),161624.0)</f>
        <v>161624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IFERROR(__xludf.DUMMYFUNCTION("""COMPUTED_VALUE"""),108.0)</f>
        <v>108</v>
      </c>
      <c r="C1421" s="1">
        <f>IFERROR(__xludf.DUMMYFUNCTION("""COMPUTED_VALUE"""),112.72)</f>
        <v>112.72</v>
      </c>
      <c r="D1421" s="1">
        <f>IFERROR(__xludf.DUMMYFUNCTION("""COMPUTED_VALUE"""),104.63)</f>
        <v>104.63</v>
      </c>
      <c r="E1421" s="1">
        <f>IFERROR(__xludf.DUMMYFUNCTION("""COMPUTED_VALUE"""),111.39)</f>
        <v>111.39</v>
      </c>
      <c r="F1421" s="1">
        <f>IFERROR(__xludf.DUMMYFUNCTION("""COMPUTED_VALUE"""),120367.0)</f>
        <v>120367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IFERROR(__xludf.DUMMYFUNCTION("""COMPUTED_VALUE"""),114.58)</f>
        <v>114.58</v>
      </c>
      <c r="C1422" s="1">
        <f>IFERROR(__xludf.DUMMYFUNCTION("""COMPUTED_VALUE"""),114.58)</f>
        <v>114.58</v>
      </c>
      <c r="D1422" s="1">
        <f>IFERROR(__xludf.DUMMYFUNCTION("""COMPUTED_VALUE"""),109.67)</f>
        <v>109.67</v>
      </c>
      <c r="E1422" s="1">
        <f>IFERROR(__xludf.DUMMYFUNCTION("""COMPUTED_VALUE"""),109.69)</f>
        <v>109.69</v>
      </c>
      <c r="F1422" s="1">
        <f>IFERROR(__xludf.DUMMYFUNCTION("""COMPUTED_VALUE"""),67327.0)</f>
        <v>67327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IFERROR(__xludf.DUMMYFUNCTION("""COMPUTED_VALUE"""),111.79)</f>
        <v>111.79</v>
      </c>
      <c r="C1423" s="1">
        <f>IFERROR(__xludf.DUMMYFUNCTION("""COMPUTED_VALUE"""),114.47)</f>
        <v>114.47</v>
      </c>
      <c r="D1423" s="1">
        <f>IFERROR(__xludf.DUMMYFUNCTION("""COMPUTED_VALUE"""),110.0)</f>
        <v>110</v>
      </c>
      <c r="E1423" s="1">
        <f>IFERROR(__xludf.DUMMYFUNCTION("""COMPUTED_VALUE"""),114.15)</f>
        <v>114.15</v>
      </c>
      <c r="F1423" s="1">
        <f>IFERROR(__xludf.DUMMYFUNCTION("""COMPUTED_VALUE"""),73875.0)</f>
        <v>73875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IFERROR(__xludf.DUMMYFUNCTION("""COMPUTED_VALUE"""),114.49)</f>
        <v>114.49</v>
      </c>
      <c r="C1424" s="1">
        <f>IFERROR(__xludf.DUMMYFUNCTION("""COMPUTED_VALUE"""),115.61)</f>
        <v>115.61</v>
      </c>
      <c r="D1424" s="1">
        <f>IFERROR(__xludf.DUMMYFUNCTION("""COMPUTED_VALUE"""),112.98)</f>
        <v>112.98</v>
      </c>
      <c r="E1424" s="1">
        <f>IFERROR(__xludf.DUMMYFUNCTION("""COMPUTED_VALUE"""),114.43)</f>
        <v>114.43</v>
      </c>
      <c r="F1424" s="1">
        <f>IFERROR(__xludf.DUMMYFUNCTION("""COMPUTED_VALUE"""),54214.0)</f>
        <v>54214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IFERROR(__xludf.DUMMYFUNCTION("""COMPUTED_VALUE"""),113.69)</f>
        <v>113.69</v>
      </c>
      <c r="C1425" s="1">
        <f>IFERROR(__xludf.DUMMYFUNCTION("""COMPUTED_VALUE"""),115.06)</f>
        <v>115.06</v>
      </c>
      <c r="D1425" s="1">
        <f>IFERROR(__xludf.DUMMYFUNCTION("""COMPUTED_VALUE"""),113.23)</f>
        <v>113.23</v>
      </c>
      <c r="E1425" s="1">
        <f>IFERROR(__xludf.DUMMYFUNCTION("""COMPUTED_VALUE"""),114.72)</f>
        <v>114.72</v>
      </c>
      <c r="F1425" s="1">
        <f>IFERROR(__xludf.DUMMYFUNCTION("""COMPUTED_VALUE"""),39301.0)</f>
        <v>39301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IFERROR(__xludf.DUMMYFUNCTION("""COMPUTED_VALUE"""),113.99)</f>
        <v>113.99</v>
      </c>
      <c r="C1426" s="1">
        <f>IFERROR(__xludf.DUMMYFUNCTION("""COMPUTED_VALUE"""),114.86)</f>
        <v>114.86</v>
      </c>
      <c r="D1426" s="1">
        <f>IFERROR(__xludf.DUMMYFUNCTION("""COMPUTED_VALUE"""),113.21)</f>
        <v>113.21</v>
      </c>
      <c r="E1426" s="1">
        <f>IFERROR(__xludf.DUMMYFUNCTION("""COMPUTED_VALUE"""),113.96)</f>
        <v>113.96</v>
      </c>
      <c r="F1426" s="1">
        <f>IFERROR(__xludf.DUMMYFUNCTION("""COMPUTED_VALUE"""),62830.0)</f>
        <v>62830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IFERROR(__xludf.DUMMYFUNCTION("""COMPUTED_VALUE"""),112.59)</f>
        <v>112.59</v>
      </c>
      <c r="C1427" s="1">
        <f>IFERROR(__xludf.DUMMYFUNCTION("""COMPUTED_VALUE"""),113.33)</f>
        <v>113.33</v>
      </c>
      <c r="D1427" s="1">
        <f>IFERROR(__xludf.DUMMYFUNCTION("""COMPUTED_VALUE"""),111.22)</f>
        <v>111.22</v>
      </c>
      <c r="E1427" s="1">
        <f>IFERROR(__xludf.DUMMYFUNCTION("""COMPUTED_VALUE"""),111.66)</f>
        <v>111.66</v>
      </c>
      <c r="F1427" s="1">
        <f>IFERROR(__xludf.DUMMYFUNCTION("""COMPUTED_VALUE"""),50126.0)</f>
        <v>50126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IFERROR(__xludf.DUMMYFUNCTION("""COMPUTED_VALUE"""),112.55)</f>
        <v>112.55</v>
      </c>
      <c r="C1428" s="1">
        <f>IFERROR(__xludf.DUMMYFUNCTION("""COMPUTED_VALUE"""),113.54)</f>
        <v>113.54</v>
      </c>
      <c r="D1428" s="1">
        <f>IFERROR(__xludf.DUMMYFUNCTION("""COMPUTED_VALUE"""),112.08)</f>
        <v>112.08</v>
      </c>
      <c r="E1428" s="1">
        <f>IFERROR(__xludf.DUMMYFUNCTION("""COMPUTED_VALUE"""),113.54)</f>
        <v>113.54</v>
      </c>
      <c r="F1428" s="1">
        <f>IFERROR(__xludf.DUMMYFUNCTION("""COMPUTED_VALUE"""),69780.0)</f>
        <v>69780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IFERROR(__xludf.DUMMYFUNCTION("""COMPUTED_VALUE"""),113.33)</f>
        <v>113.33</v>
      </c>
      <c r="C1429" s="1">
        <f>IFERROR(__xludf.DUMMYFUNCTION("""COMPUTED_VALUE"""),116.4)</f>
        <v>116.4</v>
      </c>
      <c r="D1429" s="1">
        <f>IFERROR(__xludf.DUMMYFUNCTION("""COMPUTED_VALUE"""),113.33)</f>
        <v>113.33</v>
      </c>
      <c r="E1429" s="1">
        <f>IFERROR(__xludf.DUMMYFUNCTION("""COMPUTED_VALUE"""),115.56)</f>
        <v>115.56</v>
      </c>
      <c r="F1429" s="1">
        <f>IFERROR(__xludf.DUMMYFUNCTION("""COMPUTED_VALUE"""),60530.0)</f>
        <v>60530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IFERROR(__xludf.DUMMYFUNCTION("""COMPUTED_VALUE"""),114.3)</f>
        <v>114.3</v>
      </c>
      <c r="C1430" s="1">
        <f>IFERROR(__xludf.DUMMYFUNCTION("""COMPUTED_VALUE"""),115.99)</f>
        <v>115.99</v>
      </c>
      <c r="D1430" s="1">
        <f>IFERROR(__xludf.DUMMYFUNCTION("""COMPUTED_VALUE"""),114.3)</f>
        <v>114.3</v>
      </c>
      <c r="E1430" s="1">
        <f>IFERROR(__xludf.DUMMYFUNCTION("""COMPUTED_VALUE"""),115.25)</f>
        <v>115.25</v>
      </c>
      <c r="F1430" s="1">
        <f>IFERROR(__xludf.DUMMYFUNCTION("""COMPUTED_VALUE"""),49179.0)</f>
        <v>49179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IFERROR(__xludf.DUMMYFUNCTION("""COMPUTED_VALUE"""),116.3)</f>
        <v>116.3</v>
      </c>
      <c r="C1431" s="1">
        <f>IFERROR(__xludf.DUMMYFUNCTION("""COMPUTED_VALUE"""),116.54)</f>
        <v>116.54</v>
      </c>
      <c r="D1431" s="1">
        <f>IFERROR(__xludf.DUMMYFUNCTION("""COMPUTED_VALUE"""),114.54)</f>
        <v>114.54</v>
      </c>
      <c r="E1431" s="1">
        <f>IFERROR(__xludf.DUMMYFUNCTION("""COMPUTED_VALUE"""),115.38)</f>
        <v>115.38</v>
      </c>
      <c r="F1431" s="1">
        <f>IFERROR(__xludf.DUMMYFUNCTION("""COMPUTED_VALUE"""),72438.0)</f>
        <v>72438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IFERROR(__xludf.DUMMYFUNCTION("""COMPUTED_VALUE"""),116.36)</f>
        <v>116.36</v>
      </c>
      <c r="C1432" s="1">
        <f>IFERROR(__xludf.DUMMYFUNCTION("""COMPUTED_VALUE"""),116.36)</f>
        <v>116.36</v>
      </c>
      <c r="D1432" s="1">
        <f>IFERROR(__xludf.DUMMYFUNCTION("""COMPUTED_VALUE"""),112.87)</f>
        <v>112.87</v>
      </c>
      <c r="E1432" s="1">
        <f>IFERROR(__xludf.DUMMYFUNCTION("""COMPUTED_VALUE"""),113.23)</f>
        <v>113.23</v>
      </c>
      <c r="F1432" s="1">
        <f>IFERROR(__xludf.DUMMYFUNCTION("""COMPUTED_VALUE"""),65207.0)</f>
        <v>65207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IFERROR(__xludf.DUMMYFUNCTION("""COMPUTED_VALUE"""),113.23)</f>
        <v>113.23</v>
      </c>
      <c r="C1433" s="1">
        <f>IFERROR(__xludf.DUMMYFUNCTION("""COMPUTED_VALUE"""),114.92)</f>
        <v>114.92</v>
      </c>
      <c r="D1433" s="1">
        <f>IFERROR(__xludf.DUMMYFUNCTION("""COMPUTED_VALUE"""),112.91)</f>
        <v>112.91</v>
      </c>
      <c r="E1433" s="1">
        <f>IFERROR(__xludf.DUMMYFUNCTION("""COMPUTED_VALUE"""),114.21)</f>
        <v>114.21</v>
      </c>
      <c r="F1433" s="1">
        <f>IFERROR(__xludf.DUMMYFUNCTION("""COMPUTED_VALUE"""),30167.0)</f>
        <v>30167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IFERROR(__xludf.DUMMYFUNCTION("""COMPUTED_VALUE"""),113.14)</f>
        <v>113.14</v>
      </c>
      <c r="C1434" s="1">
        <f>IFERROR(__xludf.DUMMYFUNCTION("""COMPUTED_VALUE"""),114.73)</f>
        <v>114.73</v>
      </c>
      <c r="D1434" s="1">
        <f>IFERROR(__xludf.DUMMYFUNCTION("""COMPUTED_VALUE"""),112.88)</f>
        <v>112.88</v>
      </c>
      <c r="E1434" s="1">
        <f>IFERROR(__xludf.DUMMYFUNCTION("""COMPUTED_VALUE"""),114.69)</f>
        <v>114.69</v>
      </c>
      <c r="F1434" s="1">
        <f>IFERROR(__xludf.DUMMYFUNCTION("""COMPUTED_VALUE"""),26408.0)</f>
        <v>26408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IFERROR(__xludf.DUMMYFUNCTION("""COMPUTED_VALUE"""),114.91)</f>
        <v>114.91</v>
      </c>
      <c r="C1435" s="1">
        <f>IFERROR(__xludf.DUMMYFUNCTION("""COMPUTED_VALUE"""),114.91)</f>
        <v>114.91</v>
      </c>
      <c r="D1435" s="1">
        <f>IFERROR(__xludf.DUMMYFUNCTION("""COMPUTED_VALUE"""),113.0)</f>
        <v>113</v>
      </c>
      <c r="E1435" s="1">
        <f>IFERROR(__xludf.DUMMYFUNCTION("""COMPUTED_VALUE"""),114.68)</f>
        <v>114.68</v>
      </c>
      <c r="F1435" s="1">
        <f>IFERROR(__xludf.DUMMYFUNCTION("""COMPUTED_VALUE"""),71906.0)</f>
        <v>71906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IFERROR(__xludf.DUMMYFUNCTION("""COMPUTED_VALUE"""),114.81)</f>
        <v>114.81</v>
      </c>
      <c r="C1436" s="1">
        <f>IFERROR(__xludf.DUMMYFUNCTION("""COMPUTED_VALUE"""),116.31)</f>
        <v>116.31</v>
      </c>
      <c r="D1436" s="1">
        <f>IFERROR(__xludf.DUMMYFUNCTION("""COMPUTED_VALUE"""),113.9)</f>
        <v>113.9</v>
      </c>
      <c r="E1436" s="1">
        <f>IFERROR(__xludf.DUMMYFUNCTION("""COMPUTED_VALUE"""),115.57)</f>
        <v>115.57</v>
      </c>
      <c r="F1436" s="1">
        <f>IFERROR(__xludf.DUMMYFUNCTION("""COMPUTED_VALUE"""),44096.0)</f>
        <v>44096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IFERROR(__xludf.DUMMYFUNCTION("""COMPUTED_VALUE"""),115.98)</f>
        <v>115.98</v>
      </c>
      <c r="C1437" s="1">
        <f>IFERROR(__xludf.DUMMYFUNCTION("""COMPUTED_VALUE"""),118.49)</f>
        <v>118.49</v>
      </c>
      <c r="D1437" s="1">
        <f>IFERROR(__xludf.DUMMYFUNCTION("""COMPUTED_VALUE"""),115.98)</f>
        <v>115.98</v>
      </c>
      <c r="E1437" s="1">
        <f>IFERROR(__xludf.DUMMYFUNCTION("""COMPUTED_VALUE"""),118.22)</f>
        <v>118.22</v>
      </c>
      <c r="F1437" s="1">
        <f>IFERROR(__xludf.DUMMYFUNCTION("""COMPUTED_VALUE"""),64375.0)</f>
        <v>64375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IFERROR(__xludf.DUMMYFUNCTION("""COMPUTED_VALUE"""),118.0)</f>
        <v>118</v>
      </c>
      <c r="C1438" s="1">
        <f>IFERROR(__xludf.DUMMYFUNCTION("""COMPUTED_VALUE"""),119.99)</f>
        <v>119.99</v>
      </c>
      <c r="D1438" s="1">
        <f>IFERROR(__xludf.DUMMYFUNCTION("""COMPUTED_VALUE"""),117.94)</f>
        <v>117.94</v>
      </c>
      <c r="E1438" s="1">
        <f>IFERROR(__xludf.DUMMYFUNCTION("""COMPUTED_VALUE"""),118.33)</f>
        <v>118.33</v>
      </c>
      <c r="F1438" s="1">
        <f>IFERROR(__xludf.DUMMYFUNCTION("""COMPUTED_VALUE"""),42235.0)</f>
        <v>42235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IFERROR(__xludf.DUMMYFUNCTION("""COMPUTED_VALUE"""),116.96)</f>
        <v>116.96</v>
      </c>
      <c r="C1439" s="1">
        <f>IFERROR(__xludf.DUMMYFUNCTION("""COMPUTED_VALUE"""),119.41)</f>
        <v>119.41</v>
      </c>
      <c r="D1439" s="1">
        <f>IFERROR(__xludf.DUMMYFUNCTION("""COMPUTED_VALUE"""),116.96)</f>
        <v>116.96</v>
      </c>
      <c r="E1439" s="1">
        <f>IFERROR(__xludf.DUMMYFUNCTION("""COMPUTED_VALUE"""),117.68)</f>
        <v>117.68</v>
      </c>
      <c r="F1439" s="1">
        <f>IFERROR(__xludf.DUMMYFUNCTION("""COMPUTED_VALUE"""),121711.0)</f>
        <v>121711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IFERROR(__xludf.DUMMYFUNCTION("""COMPUTED_VALUE"""),118.77)</f>
        <v>118.77</v>
      </c>
      <c r="C1440" s="1">
        <f>IFERROR(__xludf.DUMMYFUNCTION("""COMPUTED_VALUE"""),118.81)</f>
        <v>118.81</v>
      </c>
      <c r="D1440" s="1">
        <f>IFERROR(__xludf.DUMMYFUNCTION("""COMPUTED_VALUE"""),117.12)</f>
        <v>117.12</v>
      </c>
      <c r="E1440" s="1">
        <f>IFERROR(__xludf.DUMMYFUNCTION("""COMPUTED_VALUE"""),118.06)</f>
        <v>118.06</v>
      </c>
      <c r="F1440" s="1">
        <f>IFERROR(__xludf.DUMMYFUNCTION("""COMPUTED_VALUE"""),36908.0)</f>
        <v>36908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IFERROR(__xludf.DUMMYFUNCTION("""COMPUTED_VALUE"""),116.83)</f>
        <v>116.83</v>
      </c>
      <c r="C1441" s="1">
        <f>IFERROR(__xludf.DUMMYFUNCTION("""COMPUTED_VALUE"""),117.06)</f>
        <v>117.06</v>
      </c>
      <c r="D1441" s="1">
        <f>IFERROR(__xludf.DUMMYFUNCTION("""COMPUTED_VALUE"""),115.65)</f>
        <v>115.65</v>
      </c>
      <c r="E1441" s="1">
        <f>IFERROR(__xludf.DUMMYFUNCTION("""COMPUTED_VALUE"""),116.64)</f>
        <v>116.64</v>
      </c>
      <c r="F1441" s="1">
        <f>IFERROR(__xludf.DUMMYFUNCTION("""COMPUTED_VALUE"""),44926.0)</f>
        <v>44926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IFERROR(__xludf.DUMMYFUNCTION("""COMPUTED_VALUE"""),117.0)</f>
        <v>117</v>
      </c>
      <c r="C1442" s="1">
        <f>IFERROR(__xludf.DUMMYFUNCTION("""COMPUTED_VALUE"""),117.76)</f>
        <v>117.76</v>
      </c>
      <c r="D1442" s="1">
        <f>IFERROR(__xludf.DUMMYFUNCTION("""COMPUTED_VALUE"""),116.23)</f>
        <v>116.23</v>
      </c>
      <c r="E1442" s="1">
        <f>IFERROR(__xludf.DUMMYFUNCTION("""COMPUTED_VALUE"""),117.45)</f>
        <v>117.45</v>
      </c>
      <c r="F1442" s="1">
        <f>IFERROR(__xludf.DUMMYFUNCTION("""COMPUTED_VALUE"""),41616.0)</f>
        <v>41616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IFERROR(__xludf.DUMMYFUNCTION("""COMPUTED_VALUE"""),116.18)</f>
        <v>116.18</v>
      </c>
      <c r="C1443" s="1">
        <f>IFERROR(__xludf.DUMMYFUNCTION("""COMPUTED_VALUE"""),117.86)</f>
        <v>117.86</v>
      </c>
      <c r="D1443" s="1">
        <f>IFERROR(__xludf.DUMMYFUNCTION("""COMPUTED_VALUE"""),114.91)</f>
        <v>114.91</v>
      </c>
      <c r="E1443" s="1">
        <f>IFERROR(__xludf.DUMMYFUNCTION("""COMPUTED_VALUE"""),117.75)</f>
        <v>117.75</v>
      </c>
      <c r="F1443" s="1">
        <f>IFERROR(__xludf.DUMMYFUNCTION("""COMPUTED_VALUE"""),67034.0)</f>
        <v>67034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IFERROR(__xludf.DUMMYFUNCTION("""COMPUTED_VALUE"""),118.59)</f>
        <v>118.59</v>
      </c>
      <c r="C1444" s="1">
        <f>IFERROR(__xludf.DUMMYFUNCTION("""COMPUTED_VALUE"""),118.96)</f>
        <v>118.96</v>
      </c>
      <c r="D1444" s="1">
        <f>IFERROR(__xludf.DUMMYFUNCTION("""COMPUTED_VALUE"""),117.05)</f>
        <v>117.05</v>
      </c>
      <c r="E1444" s="1">
        <f>IFERROR(__xludf.DUMMYFUNCTION("""COMPUTED_VALUE"""),117.85)</f>
        <v>117.85</v>
      </c>
      <c r="F1444" s="1">
        <f>IFERROR(__xludf.DUMMYFUNCTION("""COMPUTED_VALUE"""),130486.0)</f>
        <v>130486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IFERROR(__xludf.DUMMYFUNCTION("""COMPUTED_VALUE"""),117.71)</f>
        <v>117.71</v>
      </c>
      <c r="C1445" s="1">
        <f>IFERROR(__xludf.DUMMYFUNCTION("""COMPUTED_VALUE"""),117.71)</f>
        <v>117.71</v>
      </c>
      <c r="D1445" s="1">
        <f>IFERROR(__xludf.DUMMYFUNCTION("""COMPUTED_VALUE"""),114.23)</f>
        <v>114.23</v>
      </c>
      <c r="E1445" s="1">
        <f>IFERROR(__xludf.DUMMYFUNCTION("""COMPUTED_VALUE"""),114.75)</f>
        <v>114.75</v>
      </c>
      <c r="F1445" s="1">
        <f>IFERROR(__xludf.DUMMYFUNCTION("""COMPUTED_VALUE"""),82193.0)</f>
        <v>82193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IFERROR(__xludf.DUMMYFUNCTION("""COMPUTED_VALUE"""),114.79)</f>
        <v>114.79</v>
      </c>
      <c r="C1446" s="1">
        <f>IFERROR(__xludf.DUMMYFUNCTION("""COMPUTED_VALUE"""),114.79)</f>
        <v>114.79</v>
      </c>
      <c r="D1446" s="1">
        <f>IFERROR(__xludf.DUMMYFUNCTION("""COMPUTED_VALUE"""),112.18)</f>
        <v>112.18</v>
      </c>
      <c r="E1446" s="1">
        <f>IFERROR(__xludf.DUMMYFUNCTION("""COMPUTED_VALUE"""),112.78)</f>
        <v>112.78</v>
      </c>
      <c r="F1446" s="1">
        <f>IFERROR(__xludf.DUMMYFUNCTION("""COMPUTED_VALUE"""),92225.0)</f>
        <v>92225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IFERROR(__xludf.DUMMYFUNCTION("""COMPUTED_VALUE"""),113.88)</f>
        <v>113.88</v>
      </c>
      <c r="C1447" s="1">
        <f>IFERROR(__xludf.DUMMYFUNCTION("""COMPUTED_VALUE"""),114.2)</f>
        <v>114.2</v>
      </c>
      <c r="D1447" s="1">
        <f>IFERROR(__xludf.DUMMYFUNCTION("""COMPUTED_VALUE"""),112.6)</f>
        <v>112.6</v>
      </c>
      <c r="E1447" s="1">
        <f>IFERROR(__xludf.DUMMYFUNCTION("""COMPUTED_VALUE"""),113.66)</f>
        <v>113.66</v>
      </c>
      <c r="F1447" s="1">
        <f>IFERROR(__xludf.DUMMYFUNCTION("""COMPUTED_VALUE"""),206595.0)</f>
        <v>206595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IFERROR(__xludf.DUMMYFUNCTION("""COMPUTED_VALUE"""),113.44)</f>
        <v>113.44</v>
      </c>
      <c r="C1448" s="1">
        <f>IFERROR(__xludf.DUMMYFUNCTION("""COMPUTED_VALUE"""),114.56)</f>
        <v>114.56</v>
      </c>
      <c r="D1448" s="1">
        <f>IFERROR(__xludf.DUMMYFUNCTION("""COMPUTED_VALUE"""),112.15)</f>
        <v>112.15</v>
      </c>
      <c r="E1448" s="1">
        <f>IFERROR(__xludf.DUMMYFUNCTION("""COMPUTED_VALUE"""),113.97)</f>
        <v>113.97</v>
      </c>
      <c r="F1448" s="1">
        <f>IFERROR(__xludf.DUMMYFUNCTION("""COMPUTED_VALUE"""),96299.0)</f>
        <v>96299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IFERROR(__xludf.DUMMYFUNCTION("""COMPUTED_VALUE"""),113.19)</f>
        <v>113.19</v>
      </c>
      <c r="C1449" s="1">
        <f>IFERROR(__xludf.DUMMYFUNCTION("""COMPUTED_VALUE"""),115.09)</f>
        <v>115.09</v>
      </c>
      <c r="D1449" s="1">
        <f>IFERROR(__xludf.DUMMYFUNCTION("""COMPUTED_VALUE"""),112.62)</f>
        <v>112.62</v>
      </c>
      <c r="E1449" s="1">
        <f>IFERROR(__xludf.DUMMYFUNCTION("""COMPUTED_VALUE"""),114.92)</f>
        <v>114.92</v>
      </c>
      <c r="F1449" s="1">
        <f>IFERROR(__xludf.DUMMYFUNCTION("""COMPUTED_VALUE"""),53876.0)</f>
        <v>53876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IFERROR(__xludf.DUMMYFUNCTION("""COMPUTED_VALUE"""),115.54)</f>
        <v>115.54</v>
      </c>
      <c r="C1450" s="1">
        <f>IFERROR(__xludf.DUMMYFUNCTION("""COMPUTED_VALUE"""),117.39)</f>
        <v>117.39</v>
      </c>
      <c r="D1450" s="1">
        <f>IFERROR(__xludf.DUMMYFUNCTION("""COMPUTED_VALUE"""),115.08)</f>
        <v>115.08</v>
      </c>
      <c r="E1450" s="1">
        <f>IFERROR(__xludf.DUMMYFUNCTION("""COMPUTED_VALUE"""),117.27)</f>
        <v>117.27</v>
      </c>
      <c r="F1450" s="1">
        <f>IFERROR(__xludf.DUMMYFUNCTION("""COMPUTED_VALUE"""),40991.0)</f>
        <v>40991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IFERROR(__xludf.DUMMYFUNCTION("""COMPUTED_VALUE"""),117.7)</f>
        <v>117.7</v>
      </c>
      <c r="C1451" s="1">
        <f>IFERROR(__xludf.DUMMYFUNCTION("""COMPUTED_VALUE"""),118.2)</f>
        <v>118.2</v>
      </c>
      <c r="D1451" s="1">
        <f>IFERROR(__xludf.DUMMYFUNCTION("""COMPUTED_VALUE"""),116.01)</f>
        <v>116.01</v>
      </c>
      <c r="E1451" s="1">
        <f>IFERROR(__xludf.DUMMYFUNCTION("""COMPUTED_VALUE"""),117.38)</f>
        <v>117.38</v>
      </c>
      <c r="F1451" s="1">
        <f>IFERROR(__xludf.DUMMYFUNCTION("""COMPUTED_VALUE"""),85321.0)</f>
        <v>85321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IFERROR(__xludf.DUMMYFUNCTION("""COMPUTED_VALUE"""),117.97)</f>
        <v>117.97</v>
      </c>
      <c r="C1452" s="1">
        <f>IFERROR(__xludf.DUMMYFUNCTION("""COMPUTED_VALUE"""),119.46)</f>
        <v>119.46</v>
      </c>
      <c r="D1452" s="1">
        <f>IFERROR(__xludf.DUMMYFUNCTION("""COMPUTED_VALUE"""),116.9)</f>
        <v>116.9</v>
      </c>
      <c r="E1452" s="1">
        <f>IFERROR(__xludf.DUMMYFUNCTION("""COMPUTED_VALUE"""),119.34)</f>
        <v>119.34</v>
      </c>
      <c r="F1452" s="1">
        <f>IFERROR(__xludf.DUMMYFUNCTION("""COMPUTED_VALUE"""),97110.0)</f>
        <v>97110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IFERROR(__xludf.DUMMYFUNCTION("""COMPUTED_VALUE"""),118.51)</f>
        <v>118.51</v>
      </c>
      <c r="C1453" s="1">
        <f>IFERROR(__xludf.DUMMYFUNCTION("""COMPUTED_VALUE"""),120.18)</f>
        <v>120.18</v>
      </c>
      <c r="D1453" s="1">
        <f>IFERROR(__xludf.DUMMYFUNCTION("""COMPUTED_VALUE"""),116.7)</f>
        <v>116.7</v>
      </c>
      <c r="E1453" s="1">
        <f>IFERROR(__xludf.DUMMYFUNCTION("""COMPUTED_VALUE"""),119.82)</f>
        <v>119.82</v>
      </c>
      <c r="F1453" s="1">
        <f>IFERROR(__xludf.DUMMYFUNCTION("""COMPUTED_VALUE"""),98877.0)</f>
        <v>98877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IFERROR(__xludf.DUMMYFUNCTION("""COMPUTED_VALUE"""),119.86)</f>
        <v>119.86</v>
      </c>
      <c r="C1454" s="1">
        <f>IFERROR(__xludf.DUMMYFUNCTION("""COMPUTED_VALUE"""),121.87)</f>
        <v>121.87</v>
      </c>
      <c r="D1454" s="1">
        <f>IFERROR(__xludf.DUMMYFUNCTION("""COMPUTED_VALUE"""),119.86)</f>
        <v>119.86</v>
      </c>
      <c r="E1454" s="1">
        <f>IFERROR(__xludf.DUMMYFUNCTION("""COMPUTED_VALUE"""),120.83)</f>
        <v>120.83</v>
      </c>
      <c r="F1454" s="1">
        <f>IFERROR(__xludf.DUMMYFUNCTION("""COMPUTED_VALUE"""),50220.0)</f>
        <v>50220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IFERROR(__xludf.DUMMYFUNCTION("""COMPUTED_VALUE"""),120.99)</f>
        <v>120.99</v>
      </c>
      <c r="C1455" s="1">
        <f>IFERROR(__xludf.DUMMYFUNCTION("""COMPUTED_VALUE"""),121.93)</f>
        <v>121.93</v>
      </c>
      <c r="D1455" s="1">
        <f>IFERROR(__xludf.DUMMYFUNCTION("""COMPUTED_VALUE"""),120.08)</f>
        <v>120.08</v>
      </c>
      <c r="E1455" s="1">
        <f>IFERROR(__xludf.DUMMYFUNCTION("""COMPUTED_VALUE"""),121.47)</f>
        <v>121.47</v>
      </c>
      <c r="F1455" s="1">
        <f>IFERROR(__xludf.DUMMYFUNCTION("""COMPUTED_VALUE"""),53124.0)</f>
        <v>53124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IFERROR(__xludf.DUMMYFUNCTION("""COMPUTED_VALUE"""),121.4)</f>
        <v>121.4</v>
      </c>
      <c r="C1456" s="1">
        <f>IFERROR(__xludf.DUMMYFUNCTION("""COMPUTED_VALUE"""),121.97)</f>
        <v>121.97</v>
      </c>
      <c r="D1456" s="1">
        <f>IFERROR(__xludf.DUMMYFUNCTION("""COMPUTED_VALUE"""),119.9)</f>
        <v>119.9</v>
      </c>
      <c r="E1456" s="1">
        <f>IFERROR(__xludf.DUMMYFUNCTION("""COMPUTED_VALUE"""),120.32)</f>
        <v>120.32</v>
      </c>
      <c r="F1456" s="1">
        <f>IFERROR(__xludf.DUMMYFUNCTION("""COMPUTED_VALUE"""),38787.0)</f>
        <v>38787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IFERROR(__xludf.DUMMYFUNCTION("""COMPUTED_VALUE"""),120.29)</f>
        <v>120.29</v>
      </c>
      <c r="C1457" s="1">
        <f>IFERROR(__xludf.DUMMYFUNCTION("""COMPUTED_VALUE"""),120.95)</f>
        <v>120.95</v>
      </c>
      <c r="D1457" s="1">
        <f>IFERROR(__xludf.DUMMYFUNCTION("""COMPUTED_VALUE"""),117.75)</f>
        <v>117.75</v>
      </c>
      <c r="E1457" s="1">
        <f>IFERROR(__xludf.DUMMYFUNCTION("""COMPUTED_VALUE"""),118.4)</f>
        <v>118.4</v>
      </c>
      <c r="F1457" s="1">
        <f>IFERROR(__xludf.DUMMYFUNCTION("""COMPUTED_VALUE"""),52083.0)</f>
        <v>52083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IFERROR(__xludf.DUMMYFUNCTION("""COMPUTED_VALUE"""),117.77)</f>
        <v>117.77</v>
      </c>
      <c r="C1458" s="1">
        <f>IFERROR(__xludf.DUMMYFUNCTION("""COMPUTED_VALUE"""),120.29)</f>
        <v>120.29</v>
      </c>
      <c r="D1458" s="1">
        <f>IFERROR(__xludf.DUMMYFUNCTION("""COMPUTED_VALUE"""),117.55)</f>
        <v>117.55</v>
      </c>
      <c r="E1458" s="1">
        <f>IFERROR(__xludf.DUMMYFUNCTION("""COMPUTED_VALUE"""),120.11)</f>
        <v>120.11</v>
      </c>
      <c r="F1458" s="1">
        <f>IFERROR(__xludf.DUMMYFUNCTION("""COMPUTED_VALUE"""),57416.0)</f>
        <v>57416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IFERROR(__xludf.DUMMYFUNCTION("""COMPUTED_VALUE"""),120.58)</f>
        <v>120.58</v>
      </c>
      <c r="C1459" s="1">
        <f>IFERROR(__xludf.DUMMYFUNCTION("""COMPUTED_VALUE"""),121.88)</f>
        <v>121.88</v>
      </c>
      <c r="D1459" s="1">
        <f>IFERROR(__xludf.DUMMYFUNCTION("""COMPUTED_VALUE"""),119.47)</f>
        <v>119.47</v>
      </c>
      <c r="E1459" s="1">
        <f>IFERROR(__xludf.DUMMYFUNCTION("""COMPUTED_VALUE"""),121.63)</f>
        <v>121.63</v>
      </c>
      <c r="F1459" s="1">
        <f>IFERROR(__xludf.DUMMYFUNCTION("""COMPUTED_VALUE"""),62357.0)</f>
        <v>62357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IFERROR(__xludf.DUMMYFUNCTION("""COMPUTED_VALUE"""),121.41)</f>
        <v>121.41</v>
      </c>
      <c r="C1460" s="1">
        <f>IFERROR(__xludf.DUMMYFUNCTION("""COMPUTED_VALUE"""),122.21)</f>
        <v>122.21</v>
      </c>
      <c r="D1460" s="1">
        <f>IFERROR(__xludf.DUMMYFUNCTION("""COMPUTED_VALUE"""),120.11)</f>
        <v>120.11</v>
      </c>
      <c r="E1460" s="1">
        <f>IFERROR(__xludf.DUMMYFUNCTION("""COMPUTED_VALUE"""),121.85)</f>
        <v>121.85</v>
      </c>
      <c r="F1460" s="1">
        <f>IFERROR(__xludf.DUMMYFUNCTION("""COMPUTED_VALUE"""),51889.0)</f>
        <v>51889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IFERROR(__xludf.DUMMYFUNCTION("""COMPUTED_VALUE"""),121.92)</f>
        <v>121.92</v>
      </c>
      <c r="C1461" s="1">
        <f>IFERROR(__xludf.DUMMYFUNCTION("""COMPUTED_VALUE"""),121.92)</f>
        <v>121.92</v>
      </c>
      <c r="D1461" s="1">
        <f>IFERROR(__xludf.DUMMYFUNCTION("""COMPUTED_VALUE"""),120.95)</f>
        <v>120.95</v>
      </c>
      <c r="E1461" s="1">
        <f>IFERROR(__xludf.DUMMYFUNCTION("""COMPUTED_VALUE"""),121.59)</f>
        <v>121.59</v>
      </c>
      <c r="F1461" s="1">
        <f>IFERROR(__xludf.DUMMYFUNCTION("""COMPUTED_VALUE"""),65541.0)</f>
        <v>65541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IFERROR(__xludf.DUMMYFUNCTION("""COMPUTED_VALUE"""),121.69)</f>
        <v>121.69</v>
      </c>
      <c r="C1462" s="1">
        <f>IFERROR(__xludf.DUMMYFUNCTION("""COMPUTED_VALUE"""),122.09)</f>
        <v>122.09</v>
      </c>
      <c r="D1462" s="1">
        <f>IFERROR(__xludf.DUMMYFUNCTION("""COMPUTED_VALUE"""),120.74)</f>
        <v>120.74</v>
      </c>
      <c r="E1462" s="1">
        <f>IFERROR(__xludf.DUMMYFUNCTION("""COMPUTED_VALUE"""),120.83)</f>
        <v>120.83</v>
      </c>
      <c r="F1462" s="1">
        <f>IFERROR(__xludf.DUMMYFUNCTION("""COMPUTED_VALUE"""),48471.0)</f>
        <v>48471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IFERROR(__xludf.DUMMYFUNCTION("""COMPUTED_VALUE"""),121.38)</f>
        <v>121.38</v>
      </c>
      <c r="C1463" s="1">
        <f>IFERROR(__xludf.DUMMYFUNCTION("""COMPUTED_VALUE"""),124.22)</f>
        <v>124.22</v>
      </c>
      <c r="D1463" s="1">
        <f>IFERROR(__xludf.DUMMYFUNCTION("""COMPUTED_VALUE"""),121.33)</f>
        <v>121.33</v>
      </c>
      <c r="E1463" s="1">
        <f>IFERROR(__xludf.DUMMYFUNCTION("""COMPUTED_VALUE"""),123.5)</f>
        <v>123.5</v>
      </c>
      <c r="F1463" s="1">
        <f>IFERROR(__xludf.DUMMYFUNCTION("""COMPUTED_VALUE"""),65423.0)</f>
        <v>65423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IFERROR(__xludf.DUMMYFUNCTION("""COMPUTED_VALUE"""),124.5)</f>
        <v>124.5</v>
      </c>
      <c r="C1464" s="1">
        <f>IFERROR(__xludf.DUMMYFUNCTION("""COMPUTED_VALUE"""),124.5)</f>
        <v>124.5</v>
      </c>
      <c r="D1464" s="1">
        <f>IFERROR(__xludf.DUMMYFUNCTION("""COMPUTED_VALUE"""),122.89)</f>
        <v>122.89</v>
      </c>
      <c r="E1464" s="1">
        <f>IFERROR(__xludf.DUMMYFUNCTION("""COMPUTED_VALUE"""),124.15)</f>
        <v>124.15</v>
      </c>
      <c r="F1464" s="1">
        <f>IFERROR(__xludf.DUMMYFUNCTION("""COMPUTED_VALUE"""),54594.0)</f>
        <v>54594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IFERROR(__xludf.DUMMYFUNCTION("""COMPUTED_VALUE"""),124.12)</f>
        <v>124.12</v>
      </c>
      <c r="C1465" s="1">
        <f>IFERROR(__xludf.DUMMYFUNCTION("""COMPUTED_VALUE"""),124.5)</f>
        <v>124.5</v>
      </c>
      <c r="D1465" s="1">
        <f>IFERROR(__xludf.DUMMYFUNCTION("""COMPUTED_VALUE"""),123.59)</f>
        <v>123.59</v>
      </c>
      <c r="E1465" s="1">
        <f>IFERROR(__xludf.DUMMYFUNCTION("""COMPUTED_VALUE"""),124.11)</f>
        <v>124.11</v>
      </c>
      <c r="F1465" s="1">
        <f>IFERROR(__xludf.DUMMYFUNCTION("""COMPUTED_VALUE"""),49549.0)</f>
        <v>49549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IFERROR(__xludf.DUMMYFUNCTION("""COMPUTED_VALUE"""),123.86)</f>
        <v>123.86</v>
      </c>
      <c r="C1466" s="1">
        <f>IFERROR(__xludf.DUMMYFUNCTION("""COMPUTED_VALUE"""),125.25)</f>
        <v>125.25</v>
      </c>
      <c r="D1466" s="1">
        <f>IFERROR(__xludf.DUMMYFUNCTION("""COMPUTED_VALUE"""),122.64)</f>
        <v>122.64</v>
      </c>
      <c r="E1466" s="1">
        <f>IFERROR(__xludf.DUMMYFUNCTION("""COMPUTED_VALUE"""),123.09)</f>
        <v>123.09</v>
      </c>
      <c r="F1466" s="1">
        <f>IFERROR(__xludf.DUMMYFUNCTION("""COMPUTED_VALUE"""),78715.0)</f>
        <v>78715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IFERROR(__xludf.DUMMYFUNCTION("""COMPUTED_VALUE"""),123.62)</f>
        <v>123.62</v>
      </c>
      <c r="C1467" s="1">
        <f>IFERROR(__xludf.DUMMYFUNCTION("""COMPUTED_VALUE"""),125.62)</f>
        <v>125.62</v>
      </c>
      <c r="D1467" s="1">
        <f>IFERROR(__xludf.DUMMYFUNCTION("""COMPUTED_VALUE"""),122.05)</f>
        <v>122.05</v>
      </c>
      <c r="E1467" s="1">
        <f>IFERROR(__xludf.DUMMYFUNCTION("""COMPUTED_VALUE"""),124.28)</f>
        <v>124.28</v>
      </c>
      <c r="F1467" s="1">
        <f>IFERROR(__xludf.DUMMYFUNCTION("""COMPUTED_VALUE"""),70660.0)</f>
        <v>70660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IFERROR(__xludf.DUMMYFUNCTION("""COMPUTED_VALUE"""),124.0)</f>
        <v>124</v>
      </c>
      <c r="C1468" s="1">
        <f>IFERROR(__xludf.DUMMYFUNCTION("""COMPUTED_VALUE"""),124.71)</f>
        <v>124.71</v>
      </c>
      <c r="D1468" s="1">
        <f>IFERROR(__xludf.DUMMYFUNCTION("""COMPUTED_VALUE"""),122.95)</f>
        <v>122.95</v>
      </c>
      <c r="E1468" s="1">
        <f>IFERROR(__xludf.DUMMYFUNCTION("""COMPUTED_VALUE"""),124.44)</f>
        <v>124.44</v>
      </c>
      <c r="F1468" s="1">
        <f>IFERROR(__xludf.DUMMYFUNCTION("""COMPUTED_VALUE"""),56610.0)</f>
        <v>56610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IFERROR(__xludf.DUMMYFUNCTION("""COMPUTED_VALUE"""),124.01)</f>
        <v>124.01</v>
      </c>
      <c r="C1469" s="1">
        <f>IFERROR(__xludf.DUMMYFUNCTION("""COMPUTED_VALUE"""),124.32)</f>
        <v>124.32</v>
      </c>
      <c r="D1469" s="1">
        <f>IFERROR(__xludf.DUMMYFUNCTION("""COMPUTED_VALUE"""),122.2)</f>
        <v>122.2</v>
      </c>
      <c r="E1469" s="1">
        <f>IFERROR(__xludf.DUMMYFUNCTION("""COMPUTED_VALUE"""),122.79)</f>
        <v>122.79</v>
      </c>
      <c r="F1469" s="1">
        <f>IFERROR(__xludf.DUMMYFUNCTION("""COMPUTED_VALUE"""),56812.0)</f>
        <v>56812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IFERROR(__xludf.DUMMYFUNCTION("""COMPUTED_VALUE"""),122.52)</f>
        <v>122.52</v>
      </c>
      <c r="C1470" s="1">
        <f>IFERROR(__xludf.DUMMYFUNCTION("""COMPUTED_VALUE"""),124.15)</f>
        <v>124.15</v>
      </c>
      <c r="D1470" s="1">
        <f>IFERROR(__xludf.DUMMYFUNCTION("""COMPUTED_VALUE"""),122.21)</f>
        <v>122.21</v>
      </c>
      <c r="E1470" s="1">
        <f>IFERROR(__xludf.DUMMYFUNCTION("""COMPUTED_VALUE"""),123.23)</f>
        <v>123.23</v>
      </c>
      <c r="F1470" s="1">
        <f>IFERROR(__xludf.DUMMYFUNCTION("""COMPUTED_VALUE"""),74400.0)</f>
        <v>74400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IFERROR(__xludf.DUMMYFUNCTION("""COMPUTED_VALUE"""),122.56)</f>
        <v>122.56</v>
      </c>
      <c r="C1471" s="1">
        <f>IFERROR(__xludf.DUMMYFUNCTION("""COMPUTED_VALUE"""),124.27)</f>
        <v>124.27</v>
      </c>
      <c r="D1471" s="1">
        <f>IFERROR(__xludf.DUMMYFUNCTION("""COMPUTED_VALUE"""),121.49)</f>
        <v>121.49</v>
      </c>
      <c r="E1471" s="1">
        <f>IFERROR(__xludf.DUMMYFUNCTION("""COMPUTED_VALUE"""),123.83)</f>
        <v>123.83</v>
      </c>
      <c r="F1471" s="1">
        <f>IFERROR(__xludf.DUMMYFUNCTION("""COMPUTED_VALUE"""),51024.0)</f>
        <v>51024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IFERROR(__xludf.DUMMYFUNCTION("""COMPUTED_VALUE"""),123.8)</f>
        <v>123.8</v>
      </c>
      <c r="C1472" s="1">
        <f>IFERROR(__xludf.DUMMYFUNCTION("""COMPUTED_VALUE"""),124.27)</f>
        <v>124.27</v>
      </c>
      <c r="D1472" s="1">
        <f>IFERROR(__xludf.DUMMYFUNCTION("""COMPUTED_VALUE"""),122.59)</f>
        <v>122.59</v>
      </c>
      <c r="E1472" s="1">
        <f>IFERROR(__xludf.DUMMYFUNCTION("""COMPUTED_VALUE"""),123.95)</f>
        <v>123.95</v>
      </c>
      <c r="F1472" s="1">
        <f>IFERROR(__xludf.DUMMYFUNCTION("""COMPUTED_VALUE"""),60252.0)</f>
        <v>60252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IFERROR(__xludf.DUMMYFUNCTION("""COMPUTED_VALUE"""),124.28)</f>
        <v>124.28</v>
      </c>
      <c r="C1473" s="1">
        <f>IFERROR(__xludf.DUMMYFUNCTION("""COMPUTED_VALUE"""),124.8)</f>
        <v>124.8</v>
      </c>
      <c r="D1473" s="1">
        <f>IFERROR(__xludf.DUMMYFUNCTION("""COMPUTED_VALUE"""),123.48)</f>
        <v>123.48</v>
      </c>
      <c r="E1473" s="1">
        <f>IFERROR(__xludf.DUMMYFUNCTION("""COMPUTED_VALUE"""),123.48)</f>
        <v>123.48</v>
      </c>
      <c r="F1473" s="1">
        <f>IFERROR(__xludf.DUMMYFUNCTION("""COMPUTED_VALUE"""),58737.0)</f>
        <v>58737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IFERROR(__xludf.DUMMYFUNCTION("""COMPUTED_VALUE"""),120.64)</f>
        <v>120.64</v>
      </c>
      <c r="C1474" s="1">
        <f>IFERROR(__xludf.DUMMYFUNCTION("""COMPUTED_VALUE"""),120.64)</f>
        <v>120.64</v>
      </c>
      <c r="D1474" s="1">
        <f>IFERROR(__xludf.DUMMYFUNCTION("""COMPUTED_VALUE"""),110.76)</f>
        <v>110.76</v>
      </c>
      <c r="E1474" s="1">
        <f>IFERROR(__xludf.DUMMYFUNCTION("""COMPUTED_VALUE"""),114.87)</f>
        <v>114.87</v>
      </c>
      <c r="F1474" s="1">
        <f>IFERROR(__xludf.DUMMYFUNCTION("""COMPUTED_VALUE"""),257836.0)</f>
        <v>257836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IFERROR(__xludf.DUMMYFUNCTION("""COMPUTED_VALUE"""),115.5)</f>
        <v>115.5</v>
      </c>
      <c r="C1475" s="1">
        <f>IFERROR(__xludf.DUMMYFUNCTION("""COMPUTED_VALUE"""),115.99)</f>
        <v>115.99</v>
      </c>
      <c r="D1475" s="1">
        <f>IFERROR(__xludf.DUMMYFUNCTION("""COMPUTED_VALUE"""),113.32)</f>
        <v>113.32</v>
      </c>
      <c r="E1475" s="1">
        <f>IFERROR(__xludf.DUMMYFUNCTION("""COMPUTED_VALUE"""),113.83)</f>
        <v>113.83</v>
      </c>
      <c r="F1475" s="1">
        <f>IFERROR(__xludf.DUMMYFUNCTION("""COMPUTED_VALUE"""),114974.0)</f>
        <v>114974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IFERROR(__xludf.DUMMYFUNCTION("""COMPUTED_VALUE"""),114.74)</f>
        <v>114.74</v>
      </c>
      <c r="C1476" s="1">
        <f>IFERROR(__xludf.DUMMYFUNCTION("""COMPUTED_VALUE"""),114.74)</f>
        <v>114.74</v>
      </c>
      <c r="D1476" s="1">
        <f>IFERROR(__xludf.DUMMYFUNCTION("""COMPUTED_VALUE"""),112.96)</f>
        <v>112.96</v>
      </c>
      <c r="E1476" s="1">
        <f>IFERROR(__xludf.DUMMYFUNCTION("""COMPUTED_VALUE"""),113.73)</f>
        <v>113.73</v>
      </c>
      <c r="F1476" s="1">
        <f>IFERROR(__xludf.DUMMYFUNCTION("""COMPUTED_VALUE"""),106088.0)</f>
        <v>106088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IFERROR(__xludf.DUMMYFUNCTION("""COMPUTED_VALUE"""),114.48)</f>
        <v>114.48</v>
      </c>
      <c r="C1477" s="1">
        <f>IFERROR(__xludf.DUMMYFUNCTION("""COMPUTED_VALUE"""),116.0)</f>
        <v>116</v>
      </c>
      <c r="D1477" s="1">
        <f>IFERROR(__xludf.DUMMYFUNCTION("""COMPUTED_VALUE"""),113.96)</f>
        <v>113.96</v>
      </c>
      <c r="E1477" s="1">
        <f>IFERROR(__xludf.DUMMYFUNCTION("""COMPUTED_VALUE"""),114.99)</f>
        <v>114.99</v>
      </c>
      <c r="F1477" s="1">
        <f>IFERROR(__xludf.DUMMYFUNCTION("""COMPUTED_VALUE"""),57241.0)</f>
        <v>57241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IFERROR(__xludf.DUMMYFUNCTION("""COMPUTED_VALUE"""),114.42)</f>
        <v>114.42</v>
      </c>
      <c r="C1478" s="1">
        <f>IFERROR(__xludf.DUMMYFUNCTION("""COMPUTED_VALUE"""),115.12)</f>
        <v>115.12</v>
      </c>
      <c r="D1478" s="1">
        <f>IFERROR(__xludf.DUMMYFUNCTION("""COMPUTED_VALUE"""),113.37)</f>
        <v>113.37</v>
      </c>
      <c r="E1478" s="1">
        <f>IFERROR(__xludf.DUMMYFUNCTION("""COMPUTED_VALUE"""),113.93)</f>
        <v>113.93</v>
      </c>
      <c r="F1478" s="1">
        <f>IFERROR(__xludf.DUMMYFUNCTION("""COMPUTED_VALUE"""),98746.0)</f>
        <v>98746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IFERROR(__xludf.DUMMYFUNCTION("""COMPUTED_VALUE"""),113.41)</f>
        <v>113.41</v>
      </c>
      <c r="C1479" s="1">
        <f>IFERROR(__xludf.DUMMYFUNCTION("""COMPUTED_VALUE"""),114.6)</f>
        <v>114.6</v>
      </c>
      <c r="D1479" s="1">
        <f>IFERROR(__xludf.DUMMYFUNCTION("""COMPUTED_VALUE"""),113.39)</f>
        <v>113.39</v>
      </c>
      <c r="E1479" s="1">
        <f>IFERROR(__xludf.DUMMYFUNCTION("""COMPUTED_VALUE"""),113.73)</f>
        <v>113.73</v>
      </c>
      <c r="F1479" s="1">
        <f>IFERROR(__xludf.DUMMYFUNCTION("""COMPUTED_VALUE"""),71141.0)</f>
        <v>71141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IFERROR(__xludf.DUMMYFUNCTION("""COMPUTED_VALUE"""),113.89)</f>
        <v>113.89</v>
      </c>
      <c r="C1480" s="1">
        <f>IFERROR(__xludf.DUMMYFUNCTION("""COMPUTED_VALUE"""),114.8)</f>
        <v>114.8</v>
      </c>
      <c r="D1480" s="1">
        <f>IFERROR(__xludf.DUMMYFUNCTION("""COMPUTED_VALUE"""),113.65)</f>
        <v>113.65</v>
      </c>
      <c r="E1480" s="1">
        <f>IFERROR(__xludf.DUMMYFUNCTION("""COMPUTED_VALUE"""),114.71)</f>
        <v>114.71</v>
      </c>
      <c r="F1480" s="1">
        <f>IFERROR(__xludf.DUMMYFUNCTION("""COMPUTED_VALUE"""),74746.0)</f>
        <v>74746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IFERROR(__xludf.DUMMYFUNCTION("""COMPUTED_VALUE"""),114.91)</f>
        <v>114.91</v>
      </c>
      <c r="C1481" s="1">
        <f>IFERROR(__xludf.DUMMYFUNCTION("""COMPUTED_VALUE"""),115.21)</f>
        <v>115.21</v>
      </c>
      <c r="D1481" s="1">
        <f>IFERROR(__xludf.DUMMYFUNCTION("""COMPUTED_VALUE"""),113.41)</f>
        <v>113.41</v>
      </c>
      <c r="E1481" s="1">
        <f>IFERROR(__xludf.DUMMYFUNCTION("""COMPUTED_VALUE"""),113.99)</f>
        <v>113.99</v>
      </c>
      <c r="F1481" s="1">
        <f>IFERROR(__xludf.DUMMYFUNCTION("""COMPUTED_VALUE"""),42488.0)</f>
        <v>42488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IFERROR(__xludf.DUMMYFUNCTION("""COMPUTED_VALUE"""),114.28)</f>
        <v>114.28</v>
      </c>
      <c r="C1482" s="1">
        <f>IFERROR(__xludf.DUMMYFUNCTION("""COMPUTED_VALUE"""),115.08)</f>
        <v>115.08</v>
      </c>
      <c r="D1482" s="1">
        <f>IFERROR(__xludf.DUMMYFUNCTION("""COMPUTED_VALUE"""),113.64)</f>
        <v>113.64</v>
      </c>
      <c r="E1482" s="1">
        <f>IFERROR(__xludf.DUMMYFUNCTION("""COMPUTED_VALUE"""),114.98)</f>
        <v>114.98</v>
      </c>
      <c r="F1482" s="1">
        <f>IFERROR(__xludf.DUMMYFUNCTION("""COMPUTED_VALUE"""),46698.0)</f>
        <v>46698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IFERROR(__xludf.DUMMYFUNCTION("""COMPUTED_VALUE"""),115.17)</f>
        <v>115.17</v>
      </c>
      <c r="C1483" s="1">
        <f>IFERROR(__xludf.DUMMYFUNCTION("""COMPUTED_VALUE"""),115.83)</f>
        <v>115.83</v>
      </c>
      <c r="D1483" s="1">
        <f>IFERROR(__xludf.DUMMYFUNCTION("""COMPUTED_VALUE"""),114.64)</f>
        <v>114.64</v>
      </c>
      <c r="E1483" s="1">
        <f>IFERROR(__xludf.DUMMYFUNCTION("""COMPUTED_VALUE"""),115.18)</f>
        <v>115.18</v>
      </c>
      <c r="F1483" s="1">
        <f>IFERROR(__xludf.DUMMYFUNCTION("""COMPUTED_VALUE"""),53813.0)</f>
        <v>53813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IFERROR(__xludf.DUMMYFUNCTION("""COMPUTED_VALUE"""),116.0)</f>
        <v>116</v>
      </c>
      <c r="C1484" s="1">
        <f>IFERROR(__xludf.DUMMYFUNCTION("""COMPUTED_VALUE"""),116.93)</f>
        <v>116.93</v>
      </c>
      <c r="D1484" s="1">
        <f>IFERROR(__xludf.DUMMYFUNCTION("""COMPUTED_VALUE"""),115.11)</f>
        <v>115.11</v>
      </c>
      <c r="E1484" s="1">
        <f>IFERROR(__xludf.DUMMYFUNCTION("""COMPUTED_VALUE"""),115.65)</f>
        <v>115.65</v>
      </c>
      <c r="F1484" s="1">
        <f>IFERROR(__xludf.DUMMYFUNCTION("""COMPUTED_VALUE"""),74264.0)</f>
        <v>74264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IFERROR(__xludf.DUMMYFUNCTION("""COMPUTED_VALUE"""),115.25)</f>
        <v>115.25</v>
      </c>
      <c r="C1485" s="1">
        <f>IFERROR(__xludf.DUMMYFUNCTION("""COMPUTED_VALUE"""),116.98)</f>
        <v>116.98</v>
      </c>
      <c r="D1485" s="1">
        <f>IFERROR(__xludf.DUMMYFUNCTION("""COMPUTED_VALUE"""),115.25)</f>
        <v>115.25</v>
      </c>
      <c r="E1485" s="1">
        <f>IFERROR(__xludf.DUMMYFUNCTION("""COMPUTED_VALUE"""),116.14)</f>
        <v>116.14</v>
      </c>
      <c r="F1485" s="1">
        <f>IFERROR(__xludf.DUMMYFUNCTION("""COMPUTED_VALUE"""),51169.0)</f>
        <v>51169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IFERROR(__xludf.DUMMYFUNCTION("""COMPUTED_VALUE"""),116.06)</f>
        <v>116.06</v>
      </c>
      <c r="C1486" s="1">
        <f>IFERROR(__xludf.DUMMYFUNCTION("""COMPUTED_VALUE"""),116.91)</f>
        <v>116.91</v>
      </c>
      <c r="D1486" s="1">
        <f>IFERROR(__xludf.DUMMYFUNCTION("""COMPUTED_VALUE"""),115.0)</f>
        <v>115</v>
      </c>
      <c r="E1486" s="1">
        <f>IFERROR(__xludf.DUMMYFUNCTION("""COMPUTED_VALUE"""),116.46)</f>
        <v>116.46</v>
      </c>
      <c r="F1486" s="1">
        <f>IFERROR(__xludf.DUMMYFUNCTION("""COMPUTED_VALUE"""),43066.0)</f>
        <v>43066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IFERROR(__xludf.DUMMYFUNCTION("""COMPUTED_VALUE"""),116.79)</f>
        <v>116.79</v>
      </c>
      <c r="C1487" s="1">
        <f>IFERROR(__xludf.DUMMYFUNCTION("""COMPUTED_VALUE"""),118.12)</f>
        <v>118.12</v>
      </c>
      <c r="D1487" s="1">
        <f>IFERROR(__xludf.DUMMYFUNCTION("""COMPUTED_VALUE"""),116.03)</f>
        <v>116.03</v>
      </c>
      <c r="E1487" s="1">
        <f>IFERROR(__xludf.DUMMYFUNCTION("""COMPUTED_VALUE"""),117.47)</f>
        <v>117.47</v>
      </c>
      <c r="F1487" s="1">
        <f>IFERROR(__xludf.DUMMYFUNCTION("""COMPUTED_VALUE"""),20280.0)</f>
        <v>20280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IFERROR(__xludf.DUMMYFUNCTION("""COMPUTED_VALUE"""),117.26)</f>
        <v>117.26</v>
      </c>
      <c r="C1488" s="1">
        <f>IFERROR(__xludf.DUMMYFUNCTION("""COMPUTED_VALUE"""),118.33)</f>
        <v>118.33</v>
      </c>
      <c r="D1488" s="1">
        <f>IFERROR(__xludf.DUMMYFUNCTION("""COMPUTED_VALUE"""),116.71)</f>
        <v>116.71</v>
      </c>
      <c r="E1488" s="1">
        <f>IFERROR(__xludf.DUMMYFUNCTION("""COMPUTED_VALUE"""),118.06)</f>
        <v>118.06</v>
      </c>
      <c r="F1488" s="1">
        <f>IFERROR(__xludf.DUMMYFUNCTION("""COMPUTED_VALUE"""),27132.0)</f>
        <v>27132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IFERROR(__xludf.DUMMYFUNCTION("""COMPUTED_VALUE"""),118.1)</f>
        <v>118.1</v>
      </c>
      <c r="C1489" s="1">
        <f>IFERROR(__xludf.DUMMYFUNCTION("""COMPUTED_VALUE"""),118.78)</f>
        <v>118.78</v>
      </c>
      <c r="D1489" s="1">
        <f>IFERROR(__xludf.DUMMYFUNCTION("""COMPUTED_VALUE"""),116.46)</f>
        <v>116.46</v>
      </c>
      <c r="E1489" s="1">
        <f>IFERROR(__xludf.DUMMYFUNCTION("""COMPUTED_VALUE"""),116.68)</f>
        <v>116.68</v>
      </c>
      <c r="F1489" s="1">
        <f>IFERROR(__xludf.DUMMYFUNCTION("""COMPUTED_VALUE"""),36275.0)</f>
        <v>36275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IFERROR(__xludf.DUMMYFUNCTION("""COMPUTED_VALUE"""),116.58)</f>
        <v>116.58</v>
      </c>
      <c r="C1490" s="1">
        <f>IFERROR(__xludf.DUMMYFUNCTION("""COMPUTED_VALUE"""),117.46)</f>
        <v>117.46</v>
      </c>
      <c r="D1490" s="1">
        <f>IFERROR(__xludf.DUMMYFUNCTION("""COMPUTED_VALUE"""),116.34)</f>
        <v>116.34</v>
      </c>
      <c r="E1490" s="1">
        <f>IFERROR(__xludf.DUMMYFUNCTION("""COMPUTED_VALUE"""),117.15)</f>
        <v>117.15</v>
      </c>
      <c r="F1490" s="1">
        <f>IFERROR(__xludf.DUMMYFUNCTION("""COMPUTED_VALUE"""),33902.0)</f>
        <v>33902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IFERROR(__xludf.DUMMYFUNCTION("""COMPUTED_VALUE"""),115.59)</f>
        <v>115.59</v>
      </c>
      <c r="C1491" s="1">
        <f>IFERROR(__xludf.DUMMYFUNCTION("""COMPUTED_VALUE"""),117.3)</f>
        <v>117.3</v>
      </c>
      <c r="D1491" s="1">
        <f>IFERROR(__xludf.DUMMYFUNCTION("""COMPUTED_VALUE"""),115.18)</f>
        <v>115.18</v>
      </c>
      <c r="E1491" s="1">
        <f>IFERROR(__xludf.DUMMYFUNCTION("""COMPUTED_VALUE"""),115.71)</f>
        <v>115.71</v>
      </c>
      <c r="F1491" s="1">
        <f>IFERROR(__xludf.DUMMYFUNCTION("""COMPUTED_VALUE"""),37016.0)</f>
        <v>37016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IFERROR(__xludf.DUMMYFUNCTION("""COMPUTED_VALUE"""),115.55)</f>
        <v>115.55</v>
      </c>
      <c r="C1492" s="1">
        <f>IFERROR(__xludf.DUMMYFUNCTION("""COMPUTED_VALUE"""),116.8)</f>
        <v>116.8</v>
      </c>
      <c r="D1492" s="1">
        <f>IFERROR(__xludf.DUMMYFUNCTION("""COMPUTED_VALUE"""),113.88)</f>
        <v>113.88</v>
      </c>
      <c r="E1492" s="1">
        <f>IFERROR(__xludf.DUMMYFUNCTION("""COMPUTED_VALUE"""),115.02)</f>
        <v>115.02</v>
      </c>
      <c r="F1492" s="1">
        <f>IFERROR(__xludf.DUMMYFUNCTION("""COMPUTED_VALUE"""),52179.0)</f>
        <v>52179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IFERROR(__xludf.DUMMYFUNCTION("""COMPUTED_VALUE"""),115.06)</f>
        <v>115.06</v>
      </c>
      <c r="C1493" s="1">
        <f>IFERROR(__xludf.DUMMYFUNCTION("""COMPUTED_VALUE"""),117.45)</f>
        <v>117.45</v>
      </c>
      <c r="D1493" s="1">
        <f>IFERROR(__xludf.DUMMYFUNCTION("""COMPUTED_VALUE"""),115.06)</f>
        <v>115.06</v>
      </c>
      <c r="E1493" s="1">
        <f>IFERROR(__xludf.DUMMYFUNCTION("""COMPUTED_VALUE"""),116.5)</f>
        <v>116.5</v>
      </c>
      <c r="F1493" s="1">
        <f>IFERROR(__xludf.DUMMYFUNCTION("""COMPUTED_VALUE"""),56810.0)</f>
        <v>56810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IFERROR(__xludf.DUMMYFUNCTION("""COMPUTED_VALUE"""),116.92)</f>
        <v>116.92</v>
      </c>
      <c r="C1494" s="1">
        <f>IFERROR(__xludf.DUMMYFUNCTION("""COMPUTED_VALUE"""),117.03)</f>
        <v>117.03</v>
      </c>
      <c r="D1494" s="1">
        <f>IFERROR(__xludf.DUMMYFUNCTION("""COMPUTED_VALUE"""),115.51)</f>
        <v>115.51</v>
      </c>
      <c r="E1494" s="1">
        <f>IFERROR(__xludf.DUMMYFUNCTION("""COMPUTED_VALUE"""),116.37)</f>
        <v>116.37</v>
      </c>
      <c r="F1494" s="1">
        <f>IFERROR(__xludf.DUMMYFUNCTION("""COMPUTED_VALUE"""),42449.0)</f>
        <v>42449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IFERROR(__xludf.DUMMYFUNCTION("""COMPUTED_VALUE"""),115.75)</f>
        <v>115.75</v>
      </c>
      <c r="C1495" s="1">
        <f>IFERROR(__xludf.DUMMYFUNCTION("""COMPUTED_VALUE"""),117.74)</f>
        <v>117.74</v>
      </c>
      <c r="D1495" s="1">
        <f>IFERROR(__xludf.DUMMYFUNCTION("""COMPUTED_VALUE"""),115.75)</f>
        <v>115.75</v>
      </c>
      <c r="E1495" s="1">
        <f>IFERROR(__xludf.DUMMYFUNCTION("""COMPUTED_VALUE"""),117.04)</f>
        <v>117.04</v>
      </c>
      <c r="F1495" s="1">
        <f>IFERROR(__xludf.DUMMYFUNCTION("""COMPUTED_VALUE"""),60582.0)</f>
        <v>60582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IFERROR(__xludf.DUMMYFUNCTION("""COMPUTED_VALUE"""),116.95)</f>
        <v>116.95</v>
      </c>
      <c r="C1496" s="1">
        <f>IFERROR(__xludf.DUMMYFUNCTION("""COMPUTED_VALUE"""),117.63)</f>
        <v>117.63</v>
      </c>
      <c r="D1496" s="1">
        <f>IFERROR(__xludf.DUMMYFUNCTION("""COMPUTED_VALUE"""),115.0)</f>
        <v>115</v>
      </c>
      <c r="E1496" s="1">
        <f>IFERROR(__xludf.DUMMYFUNCTION("""COMPUTED_VALUE"""),115.58)</f>
        <v>115.58</v>
      </c>
      <c r="F1496" s="1">
        <f>IFERROR(__xludf.DUMMYFUNCTION("""COMPUTED_VALUE"""),39373.0)</f>
        <v>39373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IFERROR(__xludf.DUMMYFUNCTION("""COMPUTED_VALUE"""),115.32)</f>
        <v>115.32</v>
      </c>
      <c r="C1497" s="1">
        <f>IFERROR(__xludf.DUMMYFUNCTION("""COMPUTED_VALUE"""),115.79)</f>
        <v>115.79</v>
      </c>
      <c r="D1497" s="1">
        <f>IFERROR(__xludf.DUMMYFUNCTION("""COMPUTED_VALUE"""),114.38)</f>
        <v>114.38</v>
      </c>
      <c r="E1497" s="1">
        <f>IFERROR(__xludf.DUMMYFUNCTION("""COMPUTED_VALUE"""),114.86)</f>
        <v>114.86</v>
      </c>
      <c r="F1497" s="1">
        <f>IFERROR(__xludf.DUMMYFUNCTION("""COMPUTED_VALUE"""),43543.0)</f>
        <v>43543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IFERROR(__xludf.DUMMYFUNCTION("""COMPUTED_VALUE"""),113.0)</f>
        <v>113</v>
      </c>
      <c r="C1498" s="1">
        <f>IFERROR(__xludf.DUMMYFUNCTION("""COMPUTED_VALUE"""),115.0)</f>
        <v>115</v>
      </c>
      <c r="D1498" s="1">
        <f>IFERROR(__xludf.DUMMYFUNCTION("""COMPUTED_VALUE"""),113.0)</f>
        <v>113</v>
      </c>
      <c r="E1498" s="1">
        <f>IFERROR(__xludf.DUMMYFUNCTION("""COMPUTED_VALUE"""),114.31)</f>
        <v>114.31</v>
      </c>
      <c r="F1498" s="1">
        <f>IFERROR(__xludf.DUMMYFUNCTION("""COMPUTED_VALUE"""),63319.0)</f>
        <v>63319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IFERROR(__xludf.DUMMYFUNCTION("""COMPUTED_VALUE"""),113.34)</f>
        <v>113.34</v>
      </c>
      <c r="C1499" s="1">
        <f>IFERROR(__xludf.DUMMYFUNCTION("""COMPUTED_VALUE"""),114.96)</f>
        <v>114.96</v>
      </c>
      <c r="D1499" s="1">
        <f>IFERROR(__xludf.DUMMYFUNCTION("""COMPUTED_VALUE"""),113.12)</f>
        <v>113.12</v>
      </c>
      <c r="E1499" s="1">
        <f>IFERROR(__xludf.DUMMYFUNCTION("""COMPUTED_VALUE"""),114.7)</f>
        <v>114.7</v>
      </c>
      <c r="F1499" s="1">
        <f>IFERROR(__xludf.DUMMYFUNCTION("""COMPUTED_VALUE"""),67302.0)</f>
        <v>67302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IFERROR(__xludf.DUMMYFUNCTION("""COMPUTED_VALUE"""),115.56)</f>
        <v>115.56</v>
      </c>
      <c r="C1500" s="1">
        <f>IFERROR(__xludf.DUMMYFUNCTION("""COMPUTED_VALUE"""),115.67)</f>
        <v>115.67</v>
      </c>
      <c r="D1500" s="1">
        <f>IFERROR(__xludf.DUMMYFUNCTION("""COMPUTED_VALUE"""),113.74)</f>
        <v>113.74</v>
      </c>
      <c r="E1500" s="1">
        <f>IFERROR(__xludf.DUMMYFUNCTION("""COMPUTED_VALUE"""),115.35)</f>
        <v>115.35</v>
      </c>
      <c r="F1500" s="1">
        <f>IFERROR(__xludf.DUMMYFUNCTION("""COMPUTED_VALUE"""),42223.0)</f>
        <v>42223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IFERROR(__xludf.DUMMYFUNCTION("""COMPUTED_VALUE"""),115.61)</f>
        <v>115.61</v>
      </c>
      <c r="C1501" s="1">
        <f>IFERROR(__xludf.DUMMYFUNCTION("""COMPUTED_VALUE"""),115.94)</f>
        <v>115.94</v>
      </c>
      <c r="D1501" s="1">
        <f>IFERROR(__xludf.DUMMYFUNCTION("""COMPUTED_VALUE"""),113.76)</f>
        <v>113.76</v>
      </c>
      <c r="E1501" s="1">
        <f>IFERROR(__xludf.DUMMYFUNCTION("""COMPUTED_VALUE"""),115.69)</f>
        <v>115.69</v>
      </c>
      <c r="F1501" s="1">
        <f>IFERROR(__xludf.DUMMYFUNCTION("""COMPUTED_VALUE"""),41229.0)</f>
        <v>41229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IFERROR(__xludf.DUMMYFUNCTION("""COMPUTED_VALUE"""),115.75)</f>
        <v>115.75</v>
      </c>
      <c r="C1502" s="1">
        <f>IFERROR(__xludf.DUMMYFUNCTION("""COMPUTED_VALUE"""),115.75)</f>
        <v>115.75</v>
      </c>
      <c r="D1502" s="1">
        <f>IFERROR(__xludf.DUMMYFUNCTION("""COMPUTED_VALUE"""),114.24)</f>
        <v>114.24</v>
      </c>
      <c r="E1502" s="1">
        <f>IFERROR(__xludf.DUMMYFUNCTION("""COMPUTED_VALUE"""),114.37)</f>
        <v>114.37</v>
      </c>
      <c r="F1502" s="1">
        <f>IFERROR(__xludf.DUMMYFUNCTION("""COMPUTED_VALUE"""),44018.0)</f>
        <v>44018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IFERROR(__xludf.DUMMYFUNCTION("""COMPUTED_VALUE"""),113.7)</f>
        <v>113.7</v>
      </c>
      <c r="C1503" s="1">
        <f>IFERROR(__xludf.DUMMYFUNCTION("""COMPUTED_VALUE"""),113.7)</f>
        <v>113.7</v>
      </c>
      <c r="D1503" s="1">
        <f>IFERROR(__xludf.DUMMYFUNCTION("""COMPUTED_VALUE"""),111.42)</f>
        <v>111.42</v>
      </c>
      <c r="E1503" s="1">
        <f>IFERROR(__xludf.DUMMYFUNCTION("""COMPUTED_VALUE"""),112.69)</f>
        <v>112.69</v>
      </c>
      <c r="F1503" s="1">
        <f>IFERROR(__xludf.DUMMYFUNCTION("""COMPUTED_VALUE"""),208012.0)</f>
        <v>208012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IFERROR(__xludf.DUMMYFUNCTION("""COMPUTED_VALUE"""),113.22)</f>
        <v>113.22</v>
      </c>
      <c r="C1504" s="1">
        <f>IFERROR(__xludf.DUMMYFUNCTION("""COMPUTED_VALUE"""),113.46)</f>
        <v>113.46</v>
      </c>
      <c r="D1504" s="1">
        <f>IFERROR(__xludf.DUMMYFUNCTION("""COMPUTED_VALUE"""),111.72)</f>
        <v>111.72</v>
      </c>
      <c r="E1504" s="1">
        <f>IFERROR(__xludf.DUMMYFUNCTION("""COMPUTED_VALUE"""),112.92)</f>
        <v>112.92</v>
      </c>
      <c r="F1504" s="1">
        <f>IFERROR(__xludf.DUMMYFUNCTION("""COMPUTED_VALUE"""),34723.0)</f>
        <v>34723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IFERROR(__xludf.DUMMYFUNCTION("""COMPUTED_VALUE"""),113.31)</f>
        <v>113.31</v>
      </c>
      <c r="C1505" s="1">
        <f>IFERROR(__xludf.DUMMYFUNCTION("""COMPUTED_VALUE"""),114.66)</f>
        <v>114.66</v>
      </c>
      <c r="D1505" s="1">
        <f>IFERROR(__xludf.DUMMYFUNCTION("""COMPUTED_VALUE"""),112.28)</f>
        <v>112.28</v>
      </c>
      <c r="E1505" s="1">
        <f>IFERROR(__xludf.DUMMYFUNCTION("""COMPUTED_VALUE"""),114.53)</f>
        <v>114.53</v>
      </c>
      <c r="F1505" s="1">
        <f>IFERROR(__xludf.DUMMYFUNCTION("""COMPUTED_VALUE"""),43892.0)</f>
        <v>43892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IFERROR(__xludf.DUMMYFUNCTION("""COMPUTED_VALUE"""),115.16)</f>
        <v>115.16</v>
      </c>
      <c r="C1506" s="1">
        <f>IFERROR(__xludf.DUMMYFUNCTION("""COMPUTED_VALUE"""),116.16)</f>
        <v>116.16</v>
      </c>
      <c r="D1506" s="1">
        <f>IFERROR(__xludf.DUMMYFUNCTION("""COMPUTED_VALUE"""),114.1)</f>
        <v>114.1</v>
      </c>
      <c r="E1506" s="1">
        <f>IFERROR(__xludf.DUMMYFUNCTION("""COMPUTED_VALUE"""),115.9)</f>
        <v>115.9</v>
      </c>
      <c r="F1506" s="1">
        <f>IFERROR(__xludf.DUMMYFUNCTION("""COMPUTED_VALUE"""),40909.0)</f>
        <v>40909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IFERROR(__xludf.DUMMYFUNCTION("""COMPUTED_VALUE"""),116.42)</f>
        <v>116.42</v>
      </c>
      <c r="C1507" s="1">
        <f>IFERROR(__xludf.DUMMYFUNCTION("""COMPUTED_VALUE"""),118.89)</f>
        <v>118.89</v>
      </c>
      <c r="D1507" s="1">
        <f>IFERROR(__xludf.DUMMYFUNCTION("""COMPUTED_VALUE"""),116.42)</f>
        <v>116.42</v>
      </c>
      <c r="E1507" s="1">
        <f>IFERROR(__xludf.DUMMYFUNCTION("""COMPUTED_VALUE"""),118.21)</f>
        <v>118.21</v>
      </c>
      <c r="F1507" s="1">
        <f>IFERROR(__xludf.DUMMYFUNCTION("""COMPUTED_VALUE"""),54134.0)</f>
        <v>54134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IFERROR(__xludf.DUMMYFUNCTION("""COMPUTED_VALUE"""),118.43)</f>
        <v>118.43</v>
      </c>
      <c r="C1508" s="1">
        <f>IFERROR(__xludf.DUMMYFUNCTION("""COMPUTED_VALUE"""),118.43)</f>
        <v>118.43</v>
      </c>
      <c r="D1508" s="1">
        <f>IFERROR(__xludf.DUMMYFUNCTION("""COMPUTED_VALUE"""),116.64)</f>
        <v>116.64</v>
      </c>
      <c r="E1508" s="1">
        <f>IFERROR(__xludf.DUMMYFUNCTION("""COMPUTED_VALUE"""),117.64)</f>
        <v>117.64</v>
      </c>
      <c r="F1508" s="1">
        <f>IFERROR(__xludf.DUMMYFUNCTION("""COMPUTED_VALUE"""),46460.0)</f>
        <v>46460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IFERROR(__xludf.DUMMYFUNCTION("""COMPUTED_VALUE"""),118.52)</f>
        <v>118.52</v>
      </c>
      <c r="C1509" s="1">
        <f>IFERROR(__xludf.DUMMYFUNCTION("""COMPUTED_VALUE"""),119.43)</f>
        <v>119.43</v>
      </c>
      <c r="D1509" s="1">
        <f>IFERROR(__xludf.DUMMYFUNCTION("""COMPUTED_VALUE"""),117.86)</f>
        <v>117.86</v>
      </c>
      <c r="E1509" s="1">
        <f>IFERROR(__xludf.DUMMYFUNCTION("""COMPUTED_VALUE"""),119.37)</f>
        <v>119.37</v>
      </c>
      <c r="F1509" s="1">
        <f>IFERROR(__xludf.DUMMYFUNCTION("""COMPUTED_VALUE"""),35472.0)</f>
        <v>35472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IFERROR(__xludf.DUMMYFUNCTION("""COMPUTED_VALUE"""),119.62)</f>
        <v>119.62</v>
      </c>
      <c r="C1510" s="1">
        <f>IFERROR(__xludf.DUMMYFUNCTION("""COMPUTED_VALUE"""),119.99)</f>
        <v>119.99</v>
      </c>
      <c r="D1510" s="1">
        <f>IFERROR(__xludf.DUMMYFUNCTION("""COMPUTED_VALUE"""),118.62)</f>
        <v>118.62</v>
      </c>
      <c r="E1510" s="1">
        <f>IFERROR(__xludf.DUMMYFUNCTION("""COMPUTED_VALUE"""),119.25)</f>
        <v>119.25</v>
      </c>
      <c r="F1510" s="1">
        <f>IFERROR(__xludf.DUMMYFUNCTION("""COMPUTED_VALUE"""),49363.0)</f>
        <v>49363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IFERROR(__xludf.DUMMYFUNCTION("""COMPUTED_VALUE"""),119.16)</f>
        <v>119.16</v>
      </c>
      <c r="C1511" s="1">
        <f>IFERROR(__xludf.DUMMYFUNCTION("""COMPUTED_VALUE"""),119.7)</f>
        <v>119.7</v>
      </c>
      <c r="D1511" s="1">
        <f>IFERROR(__xludf.DUMMYFUNCTION("""COMPUTED_VALUE"""),116.66)</f>
        <v>116.66</v>
      </c>
      <c r="E1511" s="1">
        <f>IFERROR(__xludf.DUMMYFUNCTION("""COMPUTED_VALUE"""),116.67)</f>
        <v>116.67</v>
      </c>
      <c r="F1511" s="1">
        <f>IFERROR(__xludf.DUMMYFUNCTION("""COMPUTED_VALUE"""),104909.0)</f>
        <v>104909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IFERROR(__xludf.DUMMYFUNCTION("""COMPUTED_VALUE"""),115.09)</f>
        <v>115.09</v>
      </c>
      <c r="C1512" s="1">
        <f>IFERROR(__xludf.DUMMYFUNCTION("""COMPUTED_VALUE"""),115.09)</f>
        <v>115.09</v>
      </c>
      <c r="D1512" s="1">
        <f>IFERROR(__xludf.DUMMYFUNCTION("""COMPUTED_VALUE"""),112.57)</f>
        <v>112.57</v>
      </c>
      <c r="E1512" s="1">
        <f>IFERROR(__xludf.DUMMYFUNCTION("""COMPUTED_VALUE"""),113.09)</f>
        <v>113.09</v>
      </c>
      <c r="F1512" s="1">
        <f>IFERROR(__xludf.DUMMYFUNCTION("""COMPUTED_VALUE"""),80444.0)</f>
        <v>80444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IFERROR(__xludf.DUMMYFUNCTION("""COMPUTED_VALUE"""),113.1)</f>
        <v>113.1</v>
      </c>
      <c r="C1513" s="1">
        <f>IFERROR(__xludf.DUMMYFUNCTION("""COMPUTED_VALUE"""),113.73)</f>
        <v>113.73</v>
      </c>
      <c r="D1513" s="1">
        <f>IFERROR(__xludf.DUMMYFUNCTION("""COMPUTED_VALUE"""),111.87)</f>
        <v>111.87</v>
      </c>
      <c r="E1513" s="1">
        <f>IFERROR(__xludf.DUMMYFUNCTION("""COMPUTED_VALUE"""),112.43)</f>
        <v>112.43</v>
      </c>
      <c r="F1513" s="1">
        <f>IFERROR(__xludf.DUMMYFUNCTION("""COMPUTED_VALUE"""),45509.0)</f>
        <v>45509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IFERROR(__xludf.DUMMYFUNCTION("""COMPUTED_VALUE"""),111.27)</f>
        <v>111.27</v>
      </c>
      <c r="C1514" s="1">
        <f>IFERROR(__xludf.DUMMYFUNCTION("""COMPUTED_VALUE"""),113.16)</f>
        <v>113.16</v>
      </c>
      <c r="D1514" s="1">
        <f>IFERROR(__xludf.DUMMYFUNCTION("""COMPUTED_VALUE"""),111.27)</f>
        <v>111.27</v>
      </c>
      <c r="E1514" s="1">
        <f>IFERROR(__xludf.DUMMYFUNCTION("""COMPUTED_VALUE"""),112.67)</f>
        <v>112.67</v>
      </c>
      <c r="F1514" s="1">
        <f>IFERROR(__xludf.DUMMYFUNCTION("""COMPUTED_VALUE"""),53141.0)</f>
        <v>53141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IFERROR(__xludf.DUMMYFUNCTION("""COMPUTED_VALUE"""),111.03)</f>
        <v>111.03</v>
      </c>
      <c r="C1515" s="1">
        <f>IFERROR(__xludf.DUMMYFUNCTION("""COMPUTED_VALUE"""),111.64)</f>
        <v>111.64</v>
      </c>
      <c r="D1515" s="1">
        <f>IFERROR(__xludf.DUMMYFUNCTION("""COMPUTED_VALUE"""),110.51)</f>
        <v>110.51</v>
      </c>
      <c r="E1515" s="1">
        <f>IFERROR(__xludf.DUMMYFUNCTION("""COMPUTED_VALUE"""),110.82)</f>
        <v>110.82</v>
      </c>
      <c r="F1515" s="1">
        <f>IFERROR(__xludf.DUMMYFUNCTION("""COMPUTED_VALUE"""),48370.0)</f>
        <v>48370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IFERROR(__xludf.DUMMYFUNCTION("""COMPUTED_VALUE"""),111.02)</f>
        <v>111.02</v>
      </c>
      <c r="C1516" s="1">
        <f>IFERROR(__xludf.DUMMYFUNCTION("""COMPUTED_VALUE"""),113.22)</f>
        <v>113.22</v>
      </c>
      <c r="D1516" s="1">
        <f>IFERROR(__xludf.DUMMYFUNCTION("""COMPUTED_VALUE"""),110.15)</f>
        <v>110.15</v>
      </c>
      <c r="E1516" s="1">
        <f>IFERROR(__xludf.DUMMYFUNCTION("""COMPUTED_VALUE"""),110.59)</f>
        <v>110.59</v>
      </c>
      <c r="F1516" s="1">
        <f>IFERROR(__xludf.DUMMYFUNCTION("""COMPUTED_VALUE"""),86617.0)</f>
        <v>86617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IFERROR(__xludf.DUMMYFUNCTION("""COMPUTED_VALUE"""),110.16)</f>
        <v>110.16</v>
      </c>
      <c r="C1517" s="1">
        <f>IFERROR(__xludf.DUMMYFUNCTION("""COMPUTED_VALUE"""),112.32)</f>
        <v>112.32</v>
      </c>
      <c r="D1517" s="1">
        <f>IFERROR(__xludf.DUMMYFUNCTION("""COMPUTED_VALUE"""),109.79)</f>
        <v>109.79</v>
      </c>
      <c r="E1517" s="1">
        <f>IFERROR(__xludf.DUMMYFUNCTION("""COMPUTED_VALUE"""),111.93)</f>
        <v>111.93</v>
      </c>
      <c r="F1517" s="1">
        <f>IFERROR(__xludf.DUMMYFUNCTION("""COMPUTED_VALUE"""),50635.0)</f>
        <v>50635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IFERROR(__xludf.DUMMYFUNCTION("""COMPUTED_VALUE"""),112.32)</f>
        <v>112.32</v>
      </c>
      <c r="C1518" s="1">
        <f>IFERROR(__xludf.DUMMYFUNCTION("""COMPUTED_VALUE"""),113.08)</f>
        <v>113.08</v>
      </c>
      <c r="D1518" s="1">
        <f>IFERROR(__xludf.DUMMYFUNCTION("""COMPUTED_VALUE"""),111.68)</f>
        <v>111.68</v>
      </c>
      <c r="E1518" s="1">
        <f>IFERROR(__xludf.DUMMYFUNCTION("""COMPUTED_VALUE"""),112.9)</f>
        <v>112.9</v>
      </c>
      <c r="F1518" s="1">
        <f>IFERROR(__xludf.DUMMYFUNCTION("""COMPUTED_VALUE"""),41151.0)</f>
        <v>41151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IFERROR(__xludf.DUMMYFUNCTION("""COMPUTED_VALUE"""),113.13)</f>
        <v>113.13</v>
      </c>
      <c r="C1519" s="1">
        <f>IFERROR(__xludf.DUMMYFUNCTION("""COMPUTED_VALUE"""),113.13)</f>
        <v>113.13</v>
      </c>
      <c r="D1519" s="1">
        <f>IFERROR(__xludf.DUMMYFUNCTION("""COMPUTED_VALUE"""),109.03)</f>
        <v>109.03</v>
      </c>
      <c r="E1519" s="1">
        <f>IFERROR(__xludf.DUMMYFUNCTION("""COMPUTED_VALUE"""),109.81)</f>
        <v>109.81</v>
      </c>
      <c r="F1519" s="1">
        <f>IFERROR(__xludf.DUMMYFUNCTION("""COMPUTED_VALUE"""),73402.0)</f>
        <v>73402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IFERROR(__xludf.DUMMYFUNCTION("""COMPUTED_VALUE"""),110.05)</f>
        <v>110.05</v>
      </c>
      <c r="C1520" s="1">
        <f>IFERROR(__xludf.DUMMYFUNCTION("""COMPUTED_VALUE"""),112.08)</f>
        <v>112.08</v>
      </c>
      <c r="D1520" s="1">
        <f>IFERROR(__xludf.DUMMYFUNCTION("""COMPUTED_VALUE"""),109.27)</f>
        <v>109.27</v>
      </c>
      <c r="E1520" s="1">
        <f>IFERROR(__xludf.DUMMYFUNCTION("""COMPUTED_VALUE"""),110.93)</f>
        <v>110.93</v>
      </c>
      <c r="F1520" s="1">
        <f>IFERROR(__xludf.DUMMYFUNCTION("""COMPUTED_VALUE"""),51407.0)</f>
        <v>51407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IFERROR(__xludf.DUMMYFUNCTION("""COMPUTED_VALUE"""),108.07)</f>
        <v>108.07</v>
      </c>
      <c r="C1521" s="1">
        <f>IFERROR(__xludf.DUMMYFUNCTION("""COMPUTED_VALUE"""),113.71)</f>
        <v>113.71</v>
      </c>
      <c r="D1521" s="1">
        <f>IFERROR(__xludf.DUMMYFUNCTION("""COMPUTED_VALUE"""),107.2)</f>
        <v>107.2</v>
      </c>
      <c r="E1521" s="1">
        <f>IFERROR(__xludf.DUMMYFUNCTION("""COMPUTED_VALUE"""),108.99)</f>
        <v>108.99</v>
      </c>
      <c r="F1521" s="1">
        <f>IFERROR(__xludf.DUMMYFUNCTION("""COMPUTED_VALUE"""),92447.0)</f>
        <v>92447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IFERROR(__xludf.DUMMYFUNCTION("""COMPUTED_VALUE"""),110.34)</f>
        <v>110.34</v>
      </c>
      <c r="C1522" s="1">
        <f>IFERROR(__xludf.DUMMYFUNCTION("""COMPUTED_VALUE"""),110.34)</f>
        <v>110.34</v>
      </c>
      <c r="D1522" s="1">
        <f>IFERROR(__xludf.DUMMYFUNCTION("""COMPUTED_VALUE"""),108.08)</f>
        <v>108.08</v>
      </c>
      <c r="E1522" s="1">
        <f>IFERROR(__xludf.DUMMYFUNCTION("""COMPUTED_VALUE"""),108.7)</f>
        <v>108.7</v>
      </c>
      <c r="F1522" s="1">
        <f>IFERROR(__xludf.DUMMYFUNCTION("""COMPUTED_VALUE"""),102227.0)</f>
        <v>102227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IFERROR(__xludf.DUMMYFUNCTION("""COMPUTED_VALUE"""),107.56)</f>
        <v>107.56</v>
      </c>
      <c r="C1523" s="1">
        <f>IFERROR(__xludf.DUMMYFUNCTION("""COMPUTED_VALUE"""),108.9)</f>
        <v>108.9</v>
      </c>
      <c r="D1523" s="1">
        <f>IFERROR(__xludf.DUMMYFUNCTION("""COMPUTED_VALUE"""),105.0)</f>
        <v>105</v>
      </c>
      <c r="E1523" s="1">
        <f>IFERROR(__xludf.DUMMYFUNCTION("""COMPUTED_VALUE"""),106.92)</f>
        <v>106.92</v>
      </c>
      <c r="F1523" s="1">
        <f>IFERROR(__xludf.DUMMYFUNCTION("""COMPUTED_VALUE"""),136700.0)</f>
        <v>136700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IFERROR(__xludf.DUMMYFUNCTION("""COMPUTED_VALUE"""),106.9)</f>
        <v>106.9</v>
      </c>
      <c r="C1524" s="1">
        <f>IFERROR(__xludf.DUMMYFUNCTION("""COMPUTED_VALUE"""),107.28)</f>
        <v>107.28</v>
      </c>
      <c r="D1524" s="1">
        <f>IFERROR(__xludf.DUMMYFUNCTION("""COMPUTED_VALUE"""),104.82)</f>
        <v>104.82</v>
      </c>
      <c r="E1524" s="1">
        <f>IFERROR(__xludf.DUMMYFUNCTION("""COMPUTED_VALUE"""),105.39)</f>
        <v>105.39</v>
      </c>
      <c r="F1524" s="1">
        <f>IFERROR(__xludf.DUMMYFUNCTION("""COMPUTED_VALUE"""),98196.0)</f>
        <v>98196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IFERROR(__xludf.DUMMYFUNCTION("""COMPUTED_VALUE"""),106.18)</f>
        <v>106.18</v>
      </c>
      <c r="C1525" s="1">
        <f>IFERROR(__xludf.DUMMYFUNCTION("""COMPUTED_VALUE"""),107.93)</f>
        <v>107.93</v>
      </c>
      <c r="D1525" s="1">
        <f>IFERROR(__xludf.DUMMYFUNCTION("""COMPUTED_VALUE"""),105.31)</f>
        <v>105.31</v>
      </c>
      <c r="E1525" s="1">
        <f>IFERROR(__xludf.DUMMYFUNCTION("""COMPUTED_VALUE"""),107.47)</f>
        <v>107.47</v>
      </c>
      <c r="F1525" s="1">
        <f>IFERROR(__xludf.DUMMYFUNCTION("""COMPUTED_VALUE"""),147886.0)</f>
        <v>147886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IFERROR(__xludf.DUMMYFUNCTION("""COMPUTED_VALUE"""),107.11)</f>
        <v>107.11</v>
      </c>
      <c r="C1526" s="1">
        <f>IFERROR(__xludf.DUMMYFUNCTION("""COMPUTED_VALUE"""),108.74)</f>
        <v>108.74</v>
      </c>
      <c r="D1526" s="1">
        <f>IFERROR(__xludf.DUMMYFUNCTION("""COMPUTED_VALUE"""),106.62)</f>
        <v>106.62</v>
      </c>
      <c r="E1526" s="1">
        <f>IFERROR(__xludf.DUMMYFUNCTION("""COMPUTED_VALUE"""),107.19)</f>
        <v>107.19</v>
      </c>
      <c r="F1526" s="1">
        <f>IFERROR(__xludf.DUMMYFUNCTION("""COMPUTED_VALUE"""),60603.0)</f>
        <v>60603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IFERROR(__xludf.DUMMYFUNCTION("""COMPUTED_VALUE"""),107.45)</f>
        <v>107.45</v>
      </c>
      <c r="C1527" s="1">
        <f>IFERROR(__xludf.DUMMYFUNCTION("""COMPUTED_VALUE"""),117.25)</f>
        <v>117.25</v>
      </c>
      <c r="D1527" s="1">
        <f>IFERROR(__xludf.DUMMYFUNCTION("""COMPUTED_VALUE"""),105.6)</f>
        <v>105.6</v>
      </c>
      <c r="E1527" s="1">
        <f>IFERROR(__xludf.DUMMYFUNCTION("""COMPUTED_VALUE"""),106.2)</f>
        <v>106.2</v>
      </c>
      <c r="F1527" s="1">
        <f>IFERROR(__xludf.DUMMYFUNCTION("""COMPUTED_VALUE"""),169443.0)</f>
        <v>169443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IFERROR(__xludf.DUMMYFUNCTION("""COMPUTED_VALUE"""),105.52)</f>
        <v>105.52</v>
      </c>
      <c r="C1528" s="1">
        <f>IFERROR(__xludf.DUMMYFUNCTION("""COMPUTED_VALUE"""),106.7)</f>
        <v>106.7</v>
      </c>
      <c r="D1528" s="1">
        <f>IFERROR(__xludf.DUMMYFUNCTION("""COMPUTED_VALUE"""),104.37)</f>
        <v>104.37</v>
      </c>
      <c r="E1528" s="1">
        <f>IFERROR(__xludf.DUMMYFUNCTION("""COMPUTED_VALUE"""),105.0)</f>
        <v>105</v>
      </c>
      <c r="F1528" s="1">
        <f>IFERROR(__xludf.DUMMYFUNCTION("""COMPUTED_VALUE"""),213819.0)</f>
        <v>213819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IFERROR(__xludf.DUMMYFUNCTION("""COMPUTED_VALUE"""),106.11)</f>
        <v>106.11</v>
      </c>
      <c r="C1529" s="1">
        <f>IFERROR(__xludf.DUMMYFUNCTION("""COMPUTED_VALUE"""),107.01)</f>
        <v>107.01</v>
      </c>
      <c r="D1529" s="1">
        <f>IFERROR(__xludf.DUMMYFUNCTION("""COMPUTED_VALUE"""),105.01)</f>
        <v>105.01</v>
      </c>
      <c r="E1529" s="1">
        <f>IFERROR(__xludf.DUMMYFUNCTION("""COMPUTED_VALUE"""),105.88)</f>
        <v>105.88</v>
      </c>
      <c r="F1529" s="1">
        <f>IFERROR(__xludf.DUMMYFUNCTION("""COMPUTED_VALUE"""),71311.0)</f>
        <v>71311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IFERROR(__xludf.DUMMYFUNCTION("""COMPUTED_VALUE"""),106.52)</f>
        <v>106.52</v>
      </c>
      <c r="C1530" s="1">
        <f>IFERROR(__xludf.DUMMYFUNCTION("""COMPUTED_VALUE"""),108.05)</f>
        <v>108.05</v>
      </c>
      <c r="D1530" s="1">
        <f>IFERROR(__xludf.DUMMYFUNCTION("""COMPUTED_VALUE"""),106.19)</f>
        <v>106.19</v>
      </c>
      <c r="E1530" s="1">
        <f>IFERROR(__xludf.DUMMYFUNCTION("""COMPUTED_VALUE"""),107.98)</f>
        <v>107.98</v>
      </c>
      <c r="F1530" s="1">
        <f>IFERROR(__xludf.DUMMYFUNCTION("""COMPUTED_VALUE"""),92037.0)</f>
        <v>92037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IFERROR(__xludf.DUMMYFUNCTION("""COMPUTED_VALUE"""),107.79)</f>
        <v>107.79</v>
      </c>
      <c r="C1531" s="1">
        <f>IFERROR(__xludf.DUMMYFUNCTION("""COMPUTED_VALUE"""),108.69)</f>
        <v>108.69</v>
      </c>
      <c r="D1531" s="1">
        <f>IFERROR(__xludf.DUMMYFUNCTION("""COMPUTED_VALUE"""),107.07)</f>
        <v>107.07</v>
      </c>
      <c r="E1531" s="1">
        <f>IFERROR(__xludf.DUMMYFUNCTION("""COMPUTED_VALUE"""),107.13)</f>
        <v>107.13</v>
      </c>
      <c r="F1531" s="1">
        <f>IFERROR(__xludf.DUMMYFUNCTION("""COMPUTED_VALUE"""),54903.0)</f>
        <v>54903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IFERROR(__xludf.DUMMYFUNCTION("""COMPUTED_VALUE"""),106.68)</f>
        <v>106.68</v>
      </c>
      <c r="C1532" s="1">
        <f>IFERROR(__xludf.DUMMYFUNCTION("""COMPUTED_VALUE"""),106.77)</f>
        <v>106.77</v>
      </c>
      <c r="D1532" s="1">
        <f>IFERROR(__xludf.DUMMYFUNCTION("""COMPUTED_VALUE"""),104.79)</f>
        <v>104.79</v>
      </c>
      <c r="E1532" s="1">
        <f>IFERROR(__xludf.DUMMYFUNCTION("""COMPUTED_VALUE"""),105.2)</f>
        <v>105.2</v>
      </c>
      <c r="F1532" s="1">
        <f>IFERROR(__xludf.DUMMYFUNCTION("""COMPUTED_VALUE"""),87823.0)</f>
        <v>87823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IFERROR(__xludf.DUMMYFUNCTION("""COMPUTED_VALUE"""),106.09)</f>
        <v>106.09</v>
      </c>
      <c r="C1533" s="1">
        <f>IFERROR(__xludf.DUMMYFUNCTION("""COMPUTED_VALUE"""),106.09)</f>
        <v>106.09</v>
      </c>
      <c r="D1533" s="1">
        <f>IFERROR(__xludf.DUMMYFUNCTION("""COMPUTED_VALUE"""),103.8)</f>
        <v>103.8</v>
      </c>
      <c r="E1533" s="1">
        <f>IFERROR(__xludf.DUMMYFUNCTION("""COMPUTED_VALUE"""),105.31)</f>
        <v>105.31</v>
      </c>
      <c r="F1533" s="1">
        <f>IFERROR(__xludf.DUMMYFUNCTION("""COMPUTED_VALUE"""),50942.0)</f>
        <v>50942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IFERROR(__xludf.DUMMYFUNCTION("""COMPUTED_VALUE"""),104.83)</f>
        <v>104.83</v>
      </c>
      <c r="C1534" s="1">
        <f>IFERROR(__xludf.DUMMYFUNCTION("""COMPUTED_VALUE"""),106.03)</f>
        <v>106.03</v>
      </c>
      <c r="D1534" s="1">
        <f>IFERROR(__xludf.DUMMYFUNCTION("""COMPUTED_VALUE"""),104.31)</f>
        <v>104.31</v>
      </c>
      <c r="E1534" s="1">
        <f>IFERROR(__xludf.DUMMYFUNCTION("""COMPUTED_VALUE"""),105.5)</f>
        <v>105.5</v>
      </c>
      <c r="F1534" s="1">
        <f>IFERROR(__xludf.DUMMYFUNCTION("""COMPUTED_VALUE"""),82950.0)</f>
        <v>82950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IFERROR(__xludf.DUMMYFUNCTION("""COMPUTED_VALUE"""),105.21)</f>
        <v>105.21</v>
      </c>
      <c r="C1535" s="1">
        <f>IFERROR(__xludf.DUMMYFUNCTION("""COMPUTED_VALUE"""),106.29)</f>
        <v>106.29</v>
      </c>
      <c r="D1535" s="1">
        <f>IFERROR(__xludf.DUMMYFUNCTION("""COMPUTED_VALUE"""),104.87)</f>
        <v>104.87</v>
      </c>
      <c r="E1535" s="1">
        <f>IFERROR(__xludf.DUMMYFUNCTION("""COMPUTED_VALUE"""),105.51)</f>
        <v>105.51</v>
      </c>
      <c r="F1535" s="1">
        <f>IFERROR(__xludf.DUMMYFUNCTION("""COMPUTED_VALUE"""),108439.0)</f>
        <v>108439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IFERROR(__xludf.DUMMYFUNCTION("""COMPUTED_VALUE"""),104.53)</f>
        <v>104.53</v>
      </c>
      <c r="C1536" s="1">
        <f>IFERROR(__xludf.DUMMYFUNCTION("""COMPUTED_VALUE"""),105.72)</f>
        <v>105.72</v>
      </c>
      <c r="D1536" s="1">
        <f>IFERROR(__xludf.DUMMYFUNCTION("""COMPUTED_VALUE"""),102.94)</f>
        <v>102.94</v>
      </c>
      <c r="E1536" s="1">
        <f>IFERROR(__xludf.DUMMYFUNCTION("""COMPUTED_VALUE"""),104.99)</f>
        <v>104.99</v>
      </c>
      <c r="F1536" s="1">
        <f>IFERROR(__xludf.DUMMYFUNCTION("""COMPUTED_VALUE"""),193277.0)</f>
        <v>193277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IFERROR(__xludf.DUMMYFUNCTION("""COMPUTED_VALUE"""),103.77)</f>
        <v>103.77</v>
      </c>
      <c r="C1537" s="1">
        <f>IFERROR(__xludf.DUMMYFUNCTION("""COMPUTED_VALUE"""),106.09)</f>
        <v>106.09</v>
      </c>
      <c r="D1537" s="1">
        <f>IFERROR(__xludf.DUMMYFUNCTION("""COMPUTED_VALUE"""),103.0)</f>
        <v>103</v>
      </c>
      <c r="E1537" s="1">
        <f>IFERROR(__xludf.DUMMYFUNCTION("""COMPUTED_VALUE"""),105.04)</f>
        <v>105.04</v>
      </c>
      <c r="F1537" s="1">
        <f>IFERROR(__xludf.DUMMYFUNCTION("""COMPUTED_VALUE"""),67020.0)</f>
        <v>67020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IFERROR(__xludf.DUMMYFUNCTION("""COMPUTED_VALUE"""),105.41)</f>
        <v>105.41</v>
      </c>
      <c r="C1538" s="1">
        <f>IFERROR(__xludf.DUMMYFUNCTION("""COMPUTED_VALUE"""),107.59)</f>
        <v>107.59</v>
      </c>
      <c r="D1538" s="1">
        <f>IFERROR(__xludf.DUMMYFUNCTION("""COMPUTED_VALUE"""),105.41)</f>
        <v>105.41</v>
      </c>
      <c r="E1538" s="1">
        <f>IFERROR(__xludf.DUMMYFUNCTION("""COMPUTED_VALUE"""),106.04)</f>
        <v>106.04</v>
      </c>
      <c r="F1538" s="1">
        <f>IFERROR(__xludf.DUMMYFUNCTION("""COMPUTED_VALUE"""),55827.0)</f>
        <v>55827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IFERROR(__xludf.DUMMYFUNCTION("""COMPUTED_VALUE"""),104.57)</f>
        <v>104.57</v>
      </c>
      <c r="C1539" s="1">
        <f>IFERROR(__xludf.DUMMYFUNCTION("""COMPUTED_VALUE"""),106.4)</f>
        <v>106.4</v>
      </c>
      <c r="D1539" s="1">
        <f>IFERROR(__xludf.DUMMYFUNCTION("""COMPUTED_VALUE"""),104.16)</f>
        <v>104.16</v>
      </c>
      <c r="E1539" s="1">
        <f>IFERROR(__xludf.DUMMYFUNCTION("""COMPUTED_VALUE"""),105.94)</f>
        <v>105.94</v>
      </c>
      <c r="F1539" s="1">
        <f>IFERROR(__xludf.DUMMYFUNCTION("""COMPUTED_VALUE"""),40043.0)</f>
        <v>40043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IFERROR(__xludf.DUMMYFUNCTION("""COMPUTED_VALUE"""),107.25)</f>
        <v>107.25</v>
      </c>
      <c r="C1540" s="1">
        <f>IFERROR(__xludf.DUMMYFUNCTION("""COMPUTED_VALUE"""),112.18)</f>
        <v>112.18</v>
      </c>
      <c r="D1540" s="1">
        <f>IFERROR(__xludf.DUMMYFUNCTION("""COMPUTED_VALUE"""),105.72)</f>
        <v>105.72</v>
      </c>
      <c r="E1540" s="1">
        <f>IFERROR(__xludf.DUMMYFUNCTION("""COMPUTED_VALUE"""),107.76)</f>
        <v>107.76</v>
      </c>
      <c r="F1540" s="1">
        <f>IFERROR(__xludf.DUMMYFUNCTION("""COMPUTED_VALUE"""),67692.0)</f>
        <v>67692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IFERROR(__xludf.DUMMYFUNCTION("""COMPUTED_VALUE"""),108.19)</f>
        <v>108.19</v>
      </c>
      <c r="C1541" s="1">
        <f>IFERROR(__xludf.DUMMYFUNCTION("""COMPUTED_VALUE"""),109.48)</f>
        <v>109.48</v>
      </c>
      <c r="D1541" s="1">
        <f>IFERROR(__xludf.DUMMYFUNCTION("""COMPUTED_VALUE"""),107.63)</f>
        <v>107.63</v>
      </c>
      <c r="E1541" s="1">
        <f>IFERROR(__xludf.DUMMYFUNCTION("""COMPUTED_VALUE"""),108.69)</f>
        <v>108.69</v>
      </c>
      <c r="F1541" s="1">
        <f>IFERROR(__xludf.DUMMYFUNCTION("""COMPUTED_VALUE"""),59531.0)</f>
        <v>59531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IFERROR(__xludf.DUMMYFUNCTION("""COMPUTED_VALUE"""),109.14)</f>
        <v>109.14</v>
      </c>
      <c r="C1542" s="1">
        <f>IFERROR(__xludf.DUMMYFUNCTION("""COMPUTED_VALUE"""),109.14)</f>
        <v>109.14</v>
      </c>
      <c r="D1542" s="1">
        <f>IFERROR(__xludf.DUMMYFUNCTION("""COMPUTED_VALUE"""),106.86)</f>
        <v>106.86</v>
      </c>
      <c r="E1542" s="1">
        <f>IFERROR(__xludf.DUMMYFUNCTION("""COMPUTED_VALUE"""),107.83)</f>
        <v>107.83</v>
      </c>
      <c r="F1542" s="1">
        <f>IFERROR(__xludf.DUMMYFUNCTION("""COMPUTED_VALUE"""),85347.0)</f>
        <v>85347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IFERROR(__xludf.DUMMYFUNCTION("""COMPUTED_VALUE"""),108.23)</f>
        <v>108.23</v>
      </c>
      <c r="C1543" s="1">
        <f>IFERROR(__xludf.DUMMYFUNCTION("""COMPUTED_VALUE"""),108.9)</f>
        <v>108.9</v>
      </c>
      <c r="D1543" s="1">
        <f>IFERROR(__xludf.DUMMYFUNCTION("""COMPUTED_VALUE"""),107.8)</f>
        <v>107.8</v>
      </c>
      <c r="E1543" s="1">
        <f>IFERROR(__xludf.DUMMYFUNCTION("""COMPUTED_VALUE"""),108.89)</f>
        <v>108.89</v>
      </c>
      <c r="F1543" s="1">
        <f>IFERROR(__xludf.DUMMYFUNCTION("""COMPUTED_VALUE"""),48974.0)</f>
        <v>48974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IFERROR(__xludf.DUMMYFUNCTION("""COMPUTED_VALUE"""),108.83)</f>
        <v>108.83</v>
      </c>
      <c r="C1544" s="1">
        <f>IFERROR(__xludf.DUMMYFUNCTION("""COMPUTED_VALUE"""),110.18)</f>
        <v>110.18</v>
      </c>
      <c r="D1544" s="1">
        <f>IFERROR(__xludf.DUMMYFUNCTION("""COMPUTED_VALUE"""),106.46)</f>
        <v>106.46</v>
      </c>
      <c r="E1544" s="1">
        <f>IFERROR(__xludf.DUMMYFUNCTION("""COMPUTED_VALUE"""),109.92)</f>
        <v>109.92</v>
      </c>
      <c r="F1544" s="1">
        <f>IFERROR(__xludf.DUMMYFUNCTION("""COMPUTED_VALUE"""),73340.0)</f>
        <v>73340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IFERROR(__xludf.DUMMYFUNCTION("""COMPUTED_VALUE"""),110.92)</f>
        <v>110.92</v>
      </c>
      <c r="C1545" s="1">
        <f>IFERROR(__xludf.DUMMYFUNCTION("""COMPUTED_VALUE"""),110.92)</f>
        <v>110.92</v>
      </c>
      <c r="D1545" s="1">
        <f>IFERROR(__xludf.DUMMYFUNCTION("""COMPUTED_VALUE"""),109.12)</f>
        <v>109.12</v>
      </c>
      <c r="E1545" s="1">
        <f>IFERROR(__xludf.DUMMYFUNCTION("""COMPUTED_VALUE"""),109.97)</f>
        <v>109.97</v>
      </c>
      <c r="F1545" s="1">
        <f>IFERROR(__xludf.DUMMYFUNCTION("""COMPUTED_VALUE"""),69846.0)</f>
        <v>69846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IFERROR(__xludf.DUMMYFUNCTION("""COMPUTED_VALUE"""),109.45)</f>
        <v>109.45</v>
      </c>
      <c r="C1546" s="1">
        <f>IFERROR(__xludf.DUMMYFUNCTION("""COMPUTED_VALUE"""),110.0)</f>
        <v>110</v>
      </c>
      <c r="D1546" s="1">
        <f>IFERROR(__xludf.DUMMYFUNCTION("""COMPUTED_VALUE"""),108.84)</f>
        <v>108.84</v>
      </c>
      <c r="E1546" s="1">
        <f>IFERROR(__xludf.DUMMYFUNCTION("""COMPUTED_VALUE"""),109.68)</f>
        <v>109.68</v>
      </c>
      <c r="F1546" s="1">
        <f>IFERROR(__xludf.DUMMYFUNCTION("""COMPUTED_VALUE"""),62641.0)</f>
        <v>62641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IFERROR(__xludf.DUMMYFUNCTION("""COMPUTED_VALUE"""),109.05)</f>
        <v>109.05</v>
      </c>
      <c r="C1547" s="1">
        <f>IFERROR(__xludf.DUMMYFUNCTION("""COMPUTED_VALUE"""),110.49)</f>
        <v>110.49</v>
      </c>
      <c r="D1547" s="1">
        <f>IFERROR(__xludf.DUMMYFUNCTION("""COMPUTED_VALUE"""),108.8)</f>
        <v>108.8</v>
      </c>
      <c r="E1547" s="1">
        <f>IFERROR(__xludf.DUMMYFUNCTION("""COMPUTED_VALUE"""),110.45)</f>
        <v>110.45</v>
      </c>
      <c r="F1547" s="1">
        <f>IFERROR(__xludf.DUMMYFUNCTION("""COMPUTED_VALUE"""),45759.0)</f>
        <v>45759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IFERROR(__xludf.DUMMYFUNCTION("""COMPUTED_VALUE"""),110.45)</f>
        <v>110.45</v>
      </c>
      <c r="C1548" s="1">
        <f>IFERROR(__xludf.DUMMYFUNCTION("""COMPUTED_VALUE"""),111.9)</f>
        <v>111.9</v>
      </c>
      <c r="D1548" s="1">
        <f>IFERROR(__xludf.DUMMYFUNCTION("""COMPUTED_VALUE"""),109.1)</f>
        <v>109.1</v>
      </c>
      <c r="E1548" s="1">
        <f>IFERROR(__xludf.DUMMYFUNCTION("""COMPUTED_VALUE"""),111.8)</f>
        <v>111.8</v>
      </c>
      <c r="F1548" s="1">
        <f>IFERROR(__xludf.DUMMYFUNCTION("""COMPUTED_VALUE"""),54017.0)</f>
        <v>54017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IFERROR(__xludf.DUMMYFUNCTION("""COMPUTED_VALUE"""),111.64)</f>
        <v>111.64</v>
      </c>
      <c r="C1549" s="1">
        <f>IFERROR(__xludf.DUMMYFUNCTION("""COMPUTED_VALUE"""),111.64)</f>
        <v>111.64</v>
      </c>
      <c r="D1549" s="1">
        <f>IFERROR(__xludf.DUMMYFUNCTION("""COMPUTED_VALUE"""),110.16)</f>
        <v>110.16</v>
      </c>
      <c r="E1549" s="1">
        <f>IFERROR(__xludf.DUMMYFUNCTION("""COMPUTED_VALUE"""),110.59)</f>
        <v>110.59</v>
      </c>
      <c r="F1549" s="1">
        <f>IFERROR(__xludf.DUMMYFUNCTION("""COMPUTED_VALUE"""),51190.0)</f>
        <v>51190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IFERROR(__xludf.DUMMYFUNCTION("""COMPUTED_VALUE"""),110.44)</f>
        <v>110.44</v>
      </c>
      <c r="C1550" s="1">
        <f>IFERROR(__xludf.DUMMYFUNCTION("""COMPUTED_VALUE"""),112.46)</f>
        <v>112.46</v>
      </c>
      <c r="D1550" s="1">
        <f>IFERROR(__xludf.DUMMYFUNCTION("""COMPUTED_VALUE"""),109.87)</f>
        <v>109.87</v>
      </c>
      <c r="E1550" s="1">
        <f>IFERROR(__xludf.DUMMYFUNCTION("""COMPUTED_VALUE"""),110.79)</f>
        <v>110.79</v>
      </c>
      <c r="F1550" s="1">
        <f>IFERROR(__xludf.DUMMYFUNCTION("""COMPUTED_VALUE"""),77784.0)</f>
        <v>77784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IFERROR(__xludf.DUMMYFUNCTION("""COMPUTED_VALUE"""),111.83)</f>
        <v>111.83</v>
      </c>
      <c r="C1551" s="1">
        <f>IFERROR(__xludf.DUMMYFUNCTION("""COMPUTED_VALUE"""),112.94)</f>
        <v>112.94</v>
      </c>
      <c r="D1551" s="1">
        <f>IFERROR(__xludf.DUMMYFUNCTION("""COMPUTED_VALUE"""),110.12)</f>
        <v>110.12</v>
      </c>
      <c r="E1551" s="1">
        <f>IFERROR(__xludf.DUMMYFUNCTION("""COMPUTED_VALUE"""),111.1)</f>
        <v>111.1</v>
      </c>
      <c r="F1551" s="1">
        <f>IFERROR(__xludf.DUMMYFUNCTION("""COMPUTED_VALUE"""),120140.0)</f>
        <v>120140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IFERROR(__xludf.DUMMYFUNCTION("""COMPUTED_VALUE"""),110.66)</f>
        <v>110.66</v>
      </c>
      <c r="C1552" s="1">
        <f>IFERROR(__xludf.DUMMYFUNCTION("""COMPUTED_VALUE"""),112.32)</f>
        <v>112.32</v>
      </c>
      <c r="D1552" s="1">
        <f>IFERROR(__xludf.DUMMYFUNCTION("""COMPUTED_VALUE"""),109.56)</f>
        <v>109.56</v>
      </c>
      <c r="E1552" s="1">
        <f>IFERROR(__xludf.DUMMYFUNCTION("""COMPUTED_VALUE"""),110.59)</f>
        <v>110.59</v>
      </c>
      <c r="F1552" s="1">
        <f>IFERROR(__xludf.DUMMYFUNCTION("""COMPUTED_VALUE"""),73869.0)</f>
        <v>73869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IFERROR(__xludf.DUMMYFUNCTION("""COMPUTED_VALUE"""),110.78)</f>
        <v>110.78</v>
      </c>
      <c r="C1553" s="1">
        <f>IFERROR(__xludf.DUMMYFUNCTION("""COMPUTED_VALUE"""),111.11)</f>
        <v>111.11</v>
      </c>
      <c r="D1553" s="1">
        <f>IFERROR(__xludf.DUMMYFUNCTION("""COMPUTED_VALUE"""),109.81)</f>
        <v>109.81</v>
      </c>
      <c r="E1553" s="1">
        <f>IFERROR(__xludf.DUMMYFUNCTION("""COMPUTED_VALUE"""),109.97)</f>
        <v>109.97</v>
      </c>
      <c r="F1553" s="1">
        <f>IFERROR(__xludf.DUMMYFUNCTION("""COMPUTED_VALUE"""),75404.0)</f>
        <v>75404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IFERROR(__xludf.DUMMYFUNCTION("""COMPUTED_VALUE"""),110.0)</f>
        <v>110</v>
      </c>
      <c r="C1554" s="1">
        <f>IFERROR(__xludf.DUMMYFUNCTION("""COMPUTED_VALUE"""),110.0)</f>
        <v>110</v>
      </c>
      <c r="D1554" s="1">
        <f>IFERROR(__xludf.DUMMYFUNCTION("""COMPUTED_VALUE"""),108.3)</f>
        <v>108.3</v>
      </c>
      <c r="E1554" s="1">
        <f>IFERROR(__xludf.DUMMYFUNCTION("""COMPUTED_VALUE"""),108.75)</f>
        <v>108.75</v>
      </c>
      <c r="F1554" s="1">
        <f>IFERROR(__xludf.DUMMYFUNCTION("""COMPUTED_VALUE"""),92583.0)</f>
        <v>92583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IFERROR(__xludf.DUMMYFUNCTION("""COMPUTED_VALUE"""),108.33)</f>
        <v>108.33</v>
      </c>
      <c r="C1555" s="1">
        <f>IFERROR(__xludf.DUMMYFUNCTION("""COMPUTED_VALUE"""),109.47)</f>
        <v>109.47</v>
      </c>
      <c r="D1555" s="1">
        <f>IFERROR(__xludf.DUMMYFUNCTION("""COMPUTED_VALUE"""),108.15)</f>
        <v>108.15</v>
      </c>
      <c r="E1555" s="1">
        <f>IFERROR(__xludf.DUMMYFUNCTION("""COMPUTED_VALUE"""),108.7)</f>
        <v>108.7</v>
      </c>
      <c r="F1555" s="1">
        <f>IFERROR(__xludf.DUMMYFUNCTION("""COMPUTED_VALUE"""),55391.0)</f>
        <v>55391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IFERROR(__xludf.DUMMYFUNCTION("""COMPUTED_VALUE"""),108.39)</f>
        <v>108.39</v>
      </c>
      <c r="C1556" s="1">
        <f>IFERROR(__xludf.DUMMYFUNCTION("""COMPUTED_VALUE"""),108.93)</f>
        <v>108.93</v>
      </c>
      <c r="D1556" s="1">
        <f>IFERROR(__xludf.DUMMYFUNCTION("""COMPUTED_VALUE"""),106.58)</f>
        <v>106.58</v>
      </c>
      <c r="E1556" s="1">
        <f>IFERROR(__xludf.DUMMYFUNCTION("""COMPUTED_VALUE"""),106.8)</f>
        <v>106.8</v>
      </c>
      <c r="F1556" s="1">
        <f>IFERROR(__xludf.DUMMYFUNCTION("""COMPUTED_VALUE"""),71877.0)</f>
        <v>71877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IFERROR(__xludf.DUMMYFUNCTION("""COMPUTED_VALUE"""),107.19)</f>
        <v>107.19</v>
      </c>
      <c r="C1557" s="1">
        <f>IFERROR(__xludf.DUMMYFUNCTION("""COMPUTED_VALUE"""),108.28)</f>
        <v>108.28</v>
      </c>
      <c r="D1557" s="1">
        <f>IFERROR(__xludf.DUMMYFUNCTION("""COMPUTED_VALUE"""),105.7)</f>
        <v>105.7</v>
      </c>
      <c r="E1557" s="1">
        <f>IFERROR(__xludf.DUMMYFUNCTION("""COMPUTED_VALUE"""),106.68)</f>
        <v>106.68</v>
      </c>
      <c r="F1557" s="1">
        <f>IFERROR(__xludf.DUMMYFUNCTION("""COMPUTED_VALUE"""),55850.0)</f>
        <v>55850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IFERROR(__xludf.DUMMYFUNCTION("""COMPUTED_VALUE"""),106.69)</f>
        <v>106.69</v>
      </c>
      <c r="C1558" s="1">
        <f>IFERROR(__xludf.DUMMYFUNCTION("""COMPUTED_VALUE"""),106.76)</f>
        <v>106.76</v>
      </c>
      <c r="D1558" s="1">
        <f>IFERROR(__xludf.DUMMYFUNCTION("""COMPUTED_VALUE"""),104.01)</f>
        <v>104.01</v>
      </c>
      <c r="E1558" s="1">
        <f>IFERROR(__xludf.DUMMYFUNCTION("""COMPUTED_VALUE"""),105.97)</f>
        <v>105.97</v>
      </c>
      <c r="F1558" s="1">
        <f>IFERROR(__xludf.DUMMYFUNCTION("""COMPUTED_VALUE"""),53744.0)</f>
        <v>53744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IFERROR(__xludf.DUMMYFUNCTION("""COMPUTED_VALUE"""),105.98)</f>
        <v>105.98</v>
      </c>
      <c r="C1559" s="1">
        <f>IFERROR(__xludf.DUMMYFUNCTION("""COMPUTED_VALUE"""),106.61)</f>
        <v>106.61</v>
      </c>
      <c r="D1559" s="1">
        <f>IFERROR(__xludf.DUMMYFUNCTION("""COMPUTED_VALUE"""),105.08)</f>
        <v>105.08</v>
      </c>
      <c r="E1559" s="1">
        <f>IFERROR(__xludf.DUMMYFUNCTION("""COMPUTED_VALUE"""),106.01)</f>
        <v>106.01</v>
      </c>
      <c r="F1559" s="1">
        <f>IFERROR(__xludf.DUMMYFUNCTION("""COMPUTED_VALUE"""),80798.0)</f>
        <v>80798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IFERROR(__xludf.DUMMYFUNCTION("""COMPUTED_VALUE"""),105.98)</f>
        <v>105.98</v>
      </c>
      <c r="C1560" s="1">
        <f>IFERROR(__xludf.DUMMYFUNCTION("""COMPUTED_VALUE"""),106.23)</f>
        <v>106.23</v>
      </c>
      <c r="D1560" s="1">
        <f>IFERROR(__xludf.DUMMYFUNCTION("""COMPUTED_VALUE"""),104.62)</f>
        <v>104.62</v>
      </c>
      <c r="E1560" s="1">
        <f>IFERROR(__xludf.DUMMYFUNCTION("""COMPUTED_VALUE"""),104.77)</f>
        <v>104.77</v>
      </c>
      <c r="F1560" s="1">
        <f>IFERROR(__xludf.DUMMYFUNCTION("""COMPUTED_VALUE"""),139038.0)</f>
        <v>139038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IFERROR(__xludf.DUMMYFUNCTION("""COMPUTED_VALUE"""),104.36)</f>
        <v>104.36</v>
      </c>
      <c r="C1561" s="1">
        <f>IFERROR(__xludf.DUMMYFUNCTION("""COMPUTED_VALUE"""),106.39)</f>
        <v>106.39</v>
      </c>
      <c r="D1561" s="1">
        <f>IFERROR(__xludf.DUMMYFUNCTION("""COMPUTED_VALUE"""),103.8)</f>
        <v>103.8</v>
      </c>
      <c r="E1561" s="1">
        <f>IFERROR(__xludf.DUMMYFUNCTION("""COMPUTED_VALUE"""),104.16)</f>
        <v>104.16</v>
      </c>
      <c r="F1561" s="1">
        <f>IFERROR(__xludf.DUMMYFUNCTION("""COMPUTED_VALUE"""),62499.0)</f>
        <v>62499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IFERROR(__xludf.DUMMYFUNCTION("""COMPUTED_VALUE"""),103.61)</f>
        <v>103.61</v>
      </c>
      <c r="C1562" s="1">
        <f>IFERROR(__xludf.DUMMYFUNCTION("""COMPUTED_VALUE"""),106.47)</f>
        <v>106.47</v>
      </c>
      <c r="D1562" s="1">
        <f>IFERROR(__xludf.DUMMYFUNCTION("""COMPUTED_VALUE"""),102.9)</f>
        <v>102.9</v>
      </c>
      <c r="E1562" s="1">
        <f>IFERROR(__xludf.DUMMYFUNCTION("""COMPUTED_VALUE"""),106.16)</f>
        <v>106.16</v>
      </c>
      <c r="F1562" s="1">
        <f>IFERROR(__xludf.DUMMYFUNCTION("""COMPUTED_VALUE"""),84305.0)</f>
        <v>84305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IFERROR(__xludf.DUMMYFUNCTION("""COMPUTED_VALUE"""),105.76)</f>
        <v>105.76</v>
      </c>
      <c r="C1563" s="1">
        <f>IFERROR(__xludf.DUMMYFUNCTION("""COMPUTED_VALUE"""),107.97)</f>
        <v>107.97</v>
      </c>
      <c r="D1563" s="1">
        <f>IFERROR(__xludf.DUMMYFUNCTION("""COMPUTED_VALUE"""),105.45)</f>
        <v>105.45</v>
      </c>
      <c r="E1563" s="1">
        <f>IFERROR(__xludf.DUMMYFUNCTION("""COMPUTED_VALUE"""),107.29)</f>
        <v>107.29</v>
      </c>
      <c r="F1563" s="1">
        <f>IFERROR(__xludf.DUMMYFUNCTION("""COMPUTED_VALUE"""),98908.0)</f>
        <v>98908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IFERROR(__xludf.DUMMYFUNCTION("""COMPUTED_VALUE"""),107.96)</f>
        <v>107.96</v>
      </c>
      <c r="C1564" s="1">
        <f>IFERROR(__xludf.DUMMYFUNCTION("""COMPUTED_VALUE"""),107.96)</f>
        <v>107.96</v>
      </c>
      <c r="D1564" s="1">
        <f>IFERROR(__xludf.DUMMYFUNCTION("""COMPUTED_VALUE"""),105.2)</f>
        <v>105.2</v>
      </c>
      <c r="E1564" s="1">
        <f>IFERROR(__xludf.DUMMYFUNCTION("""COMPUTED_VALUE"""),105.47)</f>
        <v>105.47</v>
      </c>
      <c r="F1564" s="1">
        <f>IFERROR(__xludf.DUMMYFUNCTION("""COMPUTED_VALUE"""),153947.0)</f>
        <v>153947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IFERROR(__xludf.DUMMYFUNCTION("""COMPUTED_VALUE"""),105.61)</f>
        <v>105.61</v>
      </c>
      <c r="C1565" s="1">
        <f>IFERROR(__xludf.DUMMYFUNCTION("""COMPUTED_VALUE"""),106.45)</f>
        <v>106.45</v>
      </c>
      <c r="D1565" s="1">
        <f>IFERROR(__xludf.DUMMYFUNCTION("""COMPUTED_VALUE"""),104.79)</f>
        <v>104.79</v>
      </c>
      <c r="E1565" s="1">
        <f>IFERROR(__xludf.DUMMYFUNCTION("""COMPUTED_VALUE"""),105.6)</f>
        <v>105.6</v>
      </c>
      <c r="F1565" s="1">
        <f>IFERROR(__xludf.DUMMYFUNCTION("""COMPUTED_VALUE"""),107474.0)</f>
        <v>107474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IFERROR(__xludf.DUMMYFUNCTION("""COMPUTED_VALUE"""),105.05)</f>
        <v>105.05</v>
      </c>
      <c r="C1566" s="1">
        <f>IFERROR(__xludf.DUMMYFUNCTION("""COMPUTED_VALUE"""),106.14)</f>
        <v>106.14</v>
      </c>
      <c r="D1566" s="1">
        <f>IFERROR(__xludf.DUMMYFUNCTION("""COMPUTED_VALUE"""),104.17)</f>
        <v>104.17</v>
      </c>
      <c r="E1566" s="1">
        <f>IFERROR(__xludf.DUMMYFUNCTION("""COMPUTED_VALUE"""),104.89)</f>
        <v>104.89</v>
      </c>
      <c r="F1566" s="1">
        <f>IFERROR(__xludf.DUMMYFUNCTION("""COMPUTED_VALUE"""),100111.0)</f>
        <v>100111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IFERROR(__xludf.DUMMYFUNCTION("""COMPUTED_VALUE"""),104.37)</f>
        <v>104.37</v>
      </c>
      <c r="C1567" s="1">
        <f>IFERROR(__xludf.DUMMYFUNCTION("""COMPUTED_VALUE"""),106.39)</f>
        <v>106.39</v>
      </c>
      <c r="D1567" s="1">
        <f>IFERROR(__xludf.DUMMYFUNCTION("""COMPUTED_VALUE"""),104.05)</f>
        <v>104.05</v>
      </c>
      <c r="E1567" s="1">
        <f>IFERROR(__xludf.DUMMYFUNCTION("""COMPUTED_VALUE"""),105.15)</f>
        <v>105.15</v>
      </c>
      <c r="F1567" s="1">
        <f>IFERROR(__xludf.DUMMYFUNCTION("""COMPUTED_VALUE"""),103091.0)</f>
        <v>103091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IFERROR(__xludf.DUMMYFUNCTION("""COMPUTED_VALUE"""),105.06)</f>
        <v>105.06</v>
      </c>
      <c r="C1568" s="1">
        <f>IFERROR(__xludf.DUMMYFUNCTION("""COMPUTED_VALUE"""),105.67)</f>
        <v>105.67</v>
      </c>
      <c r="D1568" s="1">
        <f>IFERROR(__xludf.DUMMYFUNCTION("""COMPUTED_VALUE"""),104.22)</f>
        <v>104.22</v>
      </c>
      <c r="E1568" s="1">
        <f>IFERROR(__xludf.DUMMYFUNCTION("""COMPUTED_VALUE"""),105.48)</f>
        <v>105.48</v>
      </c>
      <c r="F1568" s="1">
        <f>IFERROR(__xludf.DUMMYFUNCTION("""COMPUTED_VALUE"""),90877.0)</f>
        <v>90877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IFERROR(__xludf.DUMMYFUNCTION("""COMPUTED_VALUE"""),105.17)</f>
        <v>105.17</v>
      </c>
      <c r="C1569" s="1">
        <f>IFERROR(__xludf.DUMMYFUNCTION("""COMPUTED_VALUE"""),107.1)</f>
        <v>107.1</v>
      </c>
      <c r="D1569" s="1">
        <f>IFERROR(__xludf.DUMMYFUNCTION("""COMPUTED_VALUE"""),104.88)</f>
        <v>104.88</v>
      </c>
      <c r="E1569" s="1">
        <f>IFERROR(__xludf.DUMMYFUNCTION("""COMPUTED_VALUE"""),106.11)</f>
        <v>106.11</v>
      </c>
      <c r="F1569" s="1">
        <f>IFERROR(__xludf.DUMMYFUNCTION("""COMPUTED_VALUE"""),116483.0)</f>
        <v>116483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IFERROR(__xludf.DUMMYFUNCTION("""COMPUTED_VALUE"""),105.7)</f>
        <v>105.7</v>
      </c>
      <c r="C1570" s="1">
        <f>IFERROR(__xludf.DUMMYFUNCTION("""COMPUTED_VALUE"""),111.18)</f>
        <v>111.18</v>
      </c>
      <c r="D1570" s="1">
        <f>IFERROR(__xludf.DUMMYFUNCTION("""COMPUTED_VALUE"""),105.7)</f>
        <v>105.7</v>
      </c>
      <c r="E1570" s="1">
        <f>IFERROR(__xludf.DUMMYFUNCTION("""COMPUTED_VALUE"""),107.0)</f>
        <v>107</v>
      </c>
      <c r="F1570" s="1">
        <f>IFERROR(__xludf.DUMMYFUNCTION("""COMPUTED_VALUE"""),110142.0)</f>
        <v>110142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IFERROR(__xludf.DUMMYFUNCTION("""COMPUTED_VALUE"""),107.1)</f>
        <v>107.1</v>
      </c>
      <c r="C1571" s="1">
        <f>IFERROR(__xludf.DUMMYFUNCTION("""COMPUTED_VALUE"""),108.53)</f>
        <v>108.53</v>
      </c>
      <c r="D1571" s="1">
        <f>IFERROR(__xludf.DUMMYFUNCTION("""COMPUTED_VALUE"""),106.22)</f>
        <v>106.22</v>
      </c>
      <c r="E1571" s="1">
        <f>IFERROR(__xludf.DUMMYFUNCTION("""COMPUTED_VALUE"""),108.26)</f>
        <v>108.26</v>
      </c>
      <c r="F1571" s="1">
        <f>IFERROR(__xludf.DUMMYFUNCTION("""COMPUTED_VALUE"""),84435.0)</f>
        <v>84435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IFERROR(__xludf.DUMMYFUNCTION("""COMPUTED_VALUE"""),108.03)</f>
        <v>108.03</v>
      </c>
      <c r="C1572" s="1">
        <f>IFERROR(__xludf.DUMMYFUNCTION("""COMPUTED_VALUE"""),109.19)</f>
        <v>109.19</v>
      </c>
      <c r="D1572" s="1">
        <f>IFERROR(__xludf.DUMMYFUNCTION("""COMPUTED_VALUE"""),107.63)</f>
        <v>107.63</v>
      </c>
      <c r="E1572" s="1">
        <f>IFERROR(__xludf.DUMMYFUNCTION("""COMPUTED_VALUE"""),108.28)</f>
        <v>108.28</v>
      </c>
      <c r="F1572" s="1">
        <f>IFERROR(__xludf.DUMMYFUNCTION("""COMPUTED_VALUE"""),188538.0)</f>
        <v>188538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IFERROR(__xludf.DUMMYFUNCTION("""COMPUTED_VALUE"""),107.63)</f>
        <v>107.63</v>
      </c>
      <c r="C1573" s="1">
        <f>IFERROR(__xludf.DUMMYFUNCTION("""COMPUTED_VALUE"""),109.37)</f>
        <v>109.37</v>
      </c>
      <c r="D1573" s="1">
        <f>IFERROR(__xludf.DUMMYFUNCTION("""COMPUTED_VALUE"""),107.63)</f>
        <v>107.63</v>
      </c>
      <c r="E1573" s="1">
        <f>IFERROR(__xludf.DUMMYFUNCTION("""COMPUTED_VALUE"""),108.97)</f>
        <v>108.97</v>
      </c>
      <c r="F1573" s="1">
        <f>IFERROR(__xludf.DUMMYFUNCTION("""COMPUTED_VALUE"""),84380.0)</f>
        <v>84380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IFERROR(__xludf.DUMMYFUNCTION("""COMPUTED_VALUE"""),109.15)</f>
        <v>109.15</v>
      </c>
      <c r="C1574" s="1">
        <f>IFERROR(__xludf.DUMMYFUNCTION("""COMPUTED_VALUE"""),109.15)</f>
        <v>109.15</v>
      </c>
      <c r="D1574" s="1">
        <f>IFERROR(__xludf.DUMMYFUNCTION("""COMPUTED_VALUE"""),107.02)</f>
        <v>107.02</v>
      </c>
      <c r="E1574" s="1">
        <f>IFERROR(__xludf.DUMMYFUNCTION("""COMPUTED_VALUE"""),107.13)</f>
        <v>107.13</v>
      </c>
      <c r="F1574" s="1">
        <f>IFERROR(__xludf.DUMMYFUNCTION("""COMPUTED_VALUE"""),56474.0)</f>
        <v>56474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IFERROR(__xludf.DUMMYFUNCTION("""COMPUTED_VALUE"""),107.13)</f>
        <v>107.13</v>
      </c>
      <c r="C1575" s="1">
        <f>IFERROR(__xludf.DUMMYFUNCTION("""COMPUTED_VALUE"""),107.17)</f>
        <v>107.17</v>
      </c>
      <c r="D1575" s="1">
        <f>IFERROR(__xludf.DUMMYFUNCTION("""COMPUTED_VALUE"""),103.9)</f>
        <v>103.9</v>
      </c>
      <c r="E1575" s="1">
        <f>IFERROR(__xludf.DUMMYFUNCTION("""COMPUTED_VALUE"""),105.03)</f>
        <v>105.03</v>
      </c>
      <c r="F1575" s="1">
        <f>IFERROR(__xludf.DUMMYFUNCTION("""COMPUTED_VALUE"""),105144.0)</f>
        <v>105144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IFERROR(__xludf.DUMMYFUNCTION("""COMPUTED_VALUE"""),104.58)</f>
        <v>104.58</v>
      </c>
      <c r="C1576" s="1">
        <f>IFERROR(__xludf.DUMMYFUNCTION("""COMPUTED_VALUE"""),105.11)</f>
        <v>105.11</v>
      </c>
      <c r="D1576" s="1">
        <f>IFERROR(__xludf.DUMMYFUNCTION("""COMPUTED_VALUE"""),103.45)</f>
        <v>103.45</v>
      </c>
      <c r="E1576" s="1">
        <f>IFERROR(__xludf.DUMMYFUNCTION("""COMPUTED_VALUE"""),104.59)</f>
        <v>104.59</v>
      </c>
      <c r="F1576" s="1">
        <f>IFERROR(__xludf.DUMMYFUNCTION("""COMPUTED_VALUE"""),53093.0)</f>
        <v>53093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IFERROR(__xludf.DUMMYFUNCTION("""COMPUTED_VALUE"""),104.14)</f>
        <v>104.14</v>
      </c>
      <c r="C1577" s="1">
        <f>IFERROR(__xludf.DUMMYFUNCTION("""COMPUTED_VALUE"""),104.99)</f>
        <v>104.99</v>
      </c>
      <c r="D1577" s="1">
        <f>IFERROR(__xludf.DUMMYFUNCTION("""COMPUTED_VALUE"""),103.24)</f>
        <v>103.24</v>
      </c>
      <c r="E1577" s="1">
        <f>IFERROR(__xludf.DUMMYFUNCTION("""COMPUTED_VALUE"""),103.4)</f>
        <v>103.4</v>
      </c>
      <c r="F1577" s="1">
        <f>IFERROR(__xludf.DUMMYFUNCTION("""COMPUTED_VALUE"""),79952.0)</f>
        <v>79952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IFERROR(__xludf.DUMMYFUNCTION("""COMPUTED_VALUE"""),103.62)</f>
        <v>103.62</v>
      </c>
      <c r="C1578" s="1">
        <f>IFERROR(__xludf.DUMMYFUNCTION("""COMPUTED_VALUE"""),104.62)</f>
        <v>104.62</v>
      </c>
      <c r="D1578" s="1">
        <f>IFERROR(__xludf.DUMMYFUNCTION("""COMPUTED_VALUE"""),103.24)</f>
        <v>103.24</v>
      </c>
      <c r="E1578" s="1">
        <f>IFERROR(__xludf.DUMMYFUNCTION("""COMPUTED_VALUE"""),104.62)</f>
        <v>104.62</v>
      </c>
      <c r="F1578" s="1">
        <f>IFERROR(__xludf.DUMMYFUNCTION("""COMPUTED_VALUE"""),66923.0)</f>
        <v>66923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IFERROR(__xludf.DUMMYFUNCTION("""COMPUTED_VALUE"""),104.26)</f>
        <v>104.26</v>
      </c>
      <c r="C1579" s="1">
        <f>IFERROR(__xludf.DUMMYFUNCTION("""COMPUTED_VALUE"""),105.13)</f>
        <v>105.13</v>
      </c>
      <c r="D1579" s="1">
        <f>IFERROR(__xludf.DUMMYFUNCTION("""COMPUTED_VALUE"""),102.92)</f>
        <v>102.92</v>
      </c>
      <c r="E1579" s="1">
        <f>IFERROR(__xludf.DUMMYFUNCTION("""COMPUTED_VALUE"""),102.95)</f>
        <v>102.95</v>
      </c>
      <c r="F1579" s="1">
        <f>IFERROR(__xludf.DUMMYFUNCTION("""COMPUTED_VALUE"""),62430.0)</f>
        <v>62430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IFERROR(__xludf.DUMMYFUNCTION("""COMPUTED_VALUE"""),103.24)</f>
        <v>103.24</v>
      </c>
      <c r="C1580" s="1">
        <f>IFERROR(__xludf.DUMMYFUNCTION("""COMPUTED_VALUE"""),103.55)</f>
        <v>103.55</v>
      </c>
      <c r="D1580" s="1">
        <f>IFERROR(__xludf.DUMMYFUNCTION("""COMPUTED_VALUE"""),102.3)</f>
        <v>102.3</v>
      </c>
      <c r="E1580" s="1">
        <f>IFERROR(__xludf.DUMMYFUNCTION("""COMPUTED_VALUE"""),102.45)</f>
        <v>102.45</v>
      </c>
      <c r="F1580" s="1">
        <f>IFERROR(__xludf.DUMMYFUNCTION("""COMPUTED_VALUE"""),52723.0)</f>
        <v>52723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IFERROR(__xludf.DUMMYFUNCTION("""COMPUTED_VALUE"""),102.65)</f>
        <v>102.65</v>
      </c>
      <c r="C1581" s="1">
        <f>IFERROR(__xludf.DUMMYFUNCTION("""COMPUTED_VALUE"""),103.49)</f>
        <v>103.49</v>
      </c>
      <c r="D1581" s="1">
        <f>IFERROR(__xludf.DUMMYFUNCTION("""COMPUTED_VALUE"""),102.09)</f>
        <v>102.09</v>
      </c>
      <c r="E1581" s="1">
        <f>IFERROR(__xludf.DUMMYFUNCTION("""COMPUTED_VALUE"""),103.28)</f>
        <v>103.28</v>
      </c>
      <c r="F1581" s="1">
        <f>IFERROR(__xludf.DUMMYFUNCTION("""COMPUTED_VALUE"""),94762.0)</f>
        <v>94762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IFERROR(__xludf.DUMMYFUNCTION("""COMPUTED_VALUE"""),103.2)</f>
        <v>103.2</v>
      </c>
      <c r="C1582" s="1">
        <f>IFERROR(__xludf.DUMMYFUNCTION("""COMPUTED_VALUE"""),103.2)</f>
        <v>103.2</v>
      </c>
      <c r="D1582" s="1">
        <f>IFERROR(__xludf.DUMMYFUNCTION("""COMPUTED_VALUE"""),101.94)</f>
        <v>101.94</v>
      </c>
      <c r="E1582" s="1">
        <f>IFERROR(__xludf.DUMMYFUNCTION("""COMPUTED_VALUE"""),102.01)</f>
        <v>102.01</v>
      </c>
      <c r="F1582" s="1">
        <f>IFERROR(__xludf.DUMMYFUNCTION("""COMPUTED_VALUE"""),42445.0)</f>
        <v>42445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IFERROR(__xludf.DUMMYFUNCTION("""COMPUTED_VALUE"""),101.61)</f>
        <v>101.61</v>
      </c>
      <c r="C1583" s="1">
        <f>IFERROR(__xludf.DUMMYFUNCTION("""COMPUTED_VALUE"""),102.84)</f>
        <v>102.84</v>
      </c>
      <c r="D1583" s="1">
        <f>IFERROR(__xludf.DUMMYFUNCTION("""COMPUTED_VALUE"""),101.61)</f>
        <v>101.61</v>
      </c>
      <c r="E1583" s="1">
        <f>IFERROR(__xludf.DUMMYFUNCTION("""COMPUTED_VALUE"""),102.01)</f>
        <v>102.01</v>
      </c>
      <c r="F1583" s="1">
        <f>IFERROR(__xludf.DUMMYFUNCTION("""COMPUTED_VALUE"""),40914.0)</f>
        <v>40914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IFERROR(__xludf.DUMMYFUNCTION("""COMPUTED_VALUE"""),101.46)</f>
        <v>101.46</v>
      </c>
      <c r="C1584" s="1">
        <f>IFERROR(__xludf.DUMMYFUNCTION("""COMPUTED_VALUE"""),103.66)</f>
        <v>103.66</v>
      </c>
      <c r="D1584" s="1">
        <f>IFERROR(__xludf.DUMMYFUNCTION("""COMPUTED_VALUE"""),101.46)</f>
        <v>101.46</v>
      </c>
      <c r="E1584" s="1">
        <f>IFERROR(__xludf.DUMMYFUNCTION("""COMPUTED_VALUE"""),102.9)</f>
        <v>102.9</v>
      </c>
      <c r="F1584" s="1">
        <f>IFERROR(__xludf.DUMMYFUNCTION("""COMPUTED_VALUE"""),65281.0)</f>
        <v>65281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IFERROR(__xludf.DUMMYFUNCTION("""COMPUTED_VALUE"""),102.91)</f>
        <v>102.91</v>
      </c>
      <c r="C1585" s="1">
        <f>IFERROR(__xludf.DUMMYFUNCTION("""COMPUTED_VALUE"""),103.64)</f>
        <v>103.64</v>
      </c>
      <c r="D1585" s="1">
        <f>IFERROR(__xludf.DUMMYFUNCTION("""COMPUTED_VALUE"""),102.27)</f>
        <v>102.27</v>
      </c>
      <c r="E1585" s="1">
        <f>IFERROR(__xludf.DUMMYFUNCTION("""COMPUTED_VALUE"""),103.15)</f>
        <v>103.15</v>
      </c>
      <c r="F1585" s="1">
        <f>IFERROR(__xludf.DUMMYFUNCTION("""COMPUTED_VALUE"""),48108.0)</f>
        <v>48108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IFERROR(__xludf.DUMMYFUNCTION("""COMPUTED_VALUE"""),102.74)</f>
        <v>102.74</v>
      </c>
      <c r="C1586" s="1">
        <f>IFERROR(__xludf.DUMMYFUNCTION("""COMPUTED_VALUE"""),103.5)</f>
        <v>103.5</v>
      </c>
      <c r="D1586" s="1">
        <f>IFERROR(__xludf.DUMMYFUNCTION("""COMPUTED_VALUE"""),102.01)</f>
        <v>102.01</v>
      </c>
      <c r="E1586" s="1">
        <f>IFERROR(__xludf.DUMMYFUNCTION("""COMPUTED_VALUE"""),103.05)</f>
        <v>103.05</v>
      </c>
      <c r="F1586" s="1">
        <f>IFERROR(__xludf.DUMMYFUNCTION("""COMPUTED_VALUE"""),55837.0)</f>
        <v>55837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IFERROR(__xludf.DUMMYFUNCTION("""COMPUTED_VALUE"""),102.73)</f>
        <v>102.73</v>
      </c>
      <c r="C1587" s="1">
        <f>IFERROR(__xludf.DUMMYFUNCTION("""COMPUTED_VALUE"""),103.11)</f>
        <v>103.11</v>
      </c>
      <c r="D1587" s="1">
        <f>IFERROR(__xludf.DUMMYFUNCTION("""COMPUTED_VALUE"""),100.35)</f>
        <v>100.35</v>
      </c>
      <c r="E1587" s="1">
        <f>IFERROR(__xludf.DUMMYFUNCTION("""COMPUTED_VALUE"""),100.54)</f>
        <v>100.54</v>
      </c>
      <c r="F1587" s="1">
        <f>IFERROR(__xludf.DUMMYFUNCTION("""COMPUTED_VALUE"""),106168.0)</f>
        <v>106168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IFERROR(__xludf.DUMMYFUNCTION("""COMPUTED_VALUE"""),100.01)</f>
        <v>100.01</v>
      </c>
      <c r="C1588" s="1">
        <f>IFERROR(__xludf.DUMMYFUNCTION("""COMPUTED_VALUE"""),102.74)</f>
        <v>102.74</v>
      </c>
      <c r="D1588" s="1">
        <f>IFERROR(__xludf.DUMMYFUNCTION("""COMPUTED_VALUE"""),100.01)</f>
        <v>100.01</v>
      </c>
      <c r="E1588" s="1">
        <f>IFERROR(__xludf.DUMMYFUNCTION("""COMPUTED_VALUE"""),101.19)</f>
        <v>101.19</v>
      </c>
      <c r="F1588" s="1">
        <f>IFERROR(__xludf.DUMMYFUNCTION("""COMPUTED_VALUE"""),122564.0)</f>
        <v>122564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IFERROR(__xludf.DUMMYFUNCTION("""COMPUTED_VALUE"""),101.17)</f>
        <v>101.17</v>
      </c>
      <c r="C1589" s="1">
        <f>IFERROR(__xludf.DUMMYFUNCTION("""COMPUTED_VALUE"""),102.28)</f>
        <v>102.28</v>
      </c>
      <c r="D1589" s="1">
        <f>IFERROR(__xludf.DUMMYFUNCTION("""COMPUTED_VALUE"""),100.61)</f>
        <v>100.61</v>
      </c>
      <c r="E1589" s="1">
        <f>IFERROR(__xludf.DUMMYFUNCTION("""COMPUTED_VALUE"""),100.98)</f>
        <v>100.98</v>
      </c>
      <c r="F1589" s="1">
        <f>IFERROR(__xludf.DUMMYFUNCTION("""COMPUTED_VALUE"""),132780.0)</f>
        <v>132780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IFERROR(__xludf.DUMMYFUNCTION("""COMPUTED_VALUE"""),102.55)</f>
        <v>102.55</v>
      </c>
      <c r="C1590" s="1">
        <f>IFERROR(__xludf.DUMMYFUNCTION("""COMPUTED_VALUE"""),103.73)</f>
        <v>103.73</v>
      </c>
      <c r="D1590" s="1">
        <f>IFERROR(__xludf.DUMMYFUNCTION("""COMPUTED_VALUE"""),97.73)</f>
        <v>97.73</v>
      </c>
      <c r="E1590" s="1">
        <f>IFERROR(__xludf.DUMMYFUNCTION("""COMPUTED_VALUE"""),101.13)</f>
        <v>101.13</v>
      </c>
      <c r="F1590" s="1">
        <f>IFERROR(__xludf.DUMMYFUNCTION("""COMPUTED_VALUE"""),167882.0)</f>
        <v>167882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IFERROR(__xludf.DUMMYFUNCTION("""COMPUTED_VALUE"""),100.84)</f>
        <v>100.84</v>
      </c>
      <c r="C1591" s="1">
        <f>IFERROR(__xludf.DUMMYFUNCTION("""COMPUTED_VALUE"""),102.0)</f>
        <v>102</v>
      </c>
      <c r="D1591" s="1">
        <f>IFERROR(__xludf.DUMMYFUNCTION("""COMPUTED_VALUE"""),100.14)</f>
        <v>100.14</v>
      </c>
      <c r="E1591" s="1">
        <f>IFERROR(__xludf.DUMMYFUNCTION("""COMPUTED_VALUE"""),101.67)</f>
        <v>101.67</v>
      </c>
      <c r="F1591" s="1">
        <f>IFERROR(__xludf.DUMMYFUNCTION("""COMPUTED_VALUE"""),125029.0)</f>
        <v>125029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IFERROR(__xludf.DUMMYFUNCTION("""COMPUTED_VALUE"""),100.49)</f>
        <v>100.49</v>
      </c>
      <c r="C1592" s="1">
        <f>IFERROR(__xludf.DUMMYFUNCTION("""COMPUTED_VALUE"""),102.8)</f>
        <v>102.8</v>
      </c>
      <c r="D1592" s="1">
        <f>IFERROR(__xludf.DUMMYFUNCTION("""COMPUTED_VALUE"""),100.49)</f>
        <v>100.49</v>
      </c>
      <c r="E1592" s="1">
        <f>IFERROR(__xludf.DUMMYFUNCTION("""COMPUTED_VALUE"""),101.29)</f>
        <v>101.29</v>
      </c>
      <c r="F1592" s="1">
        <f>IFERROR(__xludf.DUMMYFUNCTION("""COMPUTED_VALUE"""),52197.0)</f>
        <v>52197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IFERROR(__xludf.DUMMYFUNCTION("""COMPUTED_VALUE"""),100.98)</f>
        <v>100.98</v>
      </c>
      <c r="C1593" s="1">
        <f>IFERROR(__xludf.DUMMYFUNCTION("""COMPUTED_VALUE"""),102.36)</f>
        <v>102.36</v>
      </c>
      <c r="D1593" s="1">
        <f>IFERROR(__xludf.DUMMYFUNCTION("""COMPUTED_VALUE"""),100.39)</f>
        <v>100.39</v>
      </c>
      <c r="E1593" s="1">
        <f>IFERROR(__xludf.DUMMYFUNCTION("""COMPUTED_VALUE"""),101.13)</f>
        <v>101.13</v>
      </c>
      <c r="F1593" s="1">
        <f>IFERROR(__xludf.DUMMYFUNCTION("""COMPUTED_VALUE"""),69026.0)</f>
        <v>69026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IFERROR(__xludf.DUMMYFUNCTION("""COMPUTED_VALUE"""),101.7)</f>
        <v>101.7</v>
      </c>
      <c r="C1594" s="1">
        <f>IFERROR(__xludf.DUMMYFUNCTION("""COMPUTED_VALUE"""),103.5)</f>
        <v>103.5</v>
      </c>
      <c r="D1594" s="1">
        <f>IFERROR(__xludf.DUMMYFUNCTION("""COMPUTED_VALUE"""),101.51)</f>
        <v>101.51</v>
      </c>
      <c r="E1594" s="1">
        <f>IFERROR(__xludf.DUMMYFUNCTION("""COMPUTED_VALUE"""),102.65)</f>
        <v>102.65</v>
      </c>
      <c r="F1594" s="1">
        <f>IFERROR(__xludf.DUMMYFUNCTION("""COMPUTED_VALUE"""),89060.0)</f>
        <v>89060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IFERROR(__xludf.DUMMYFUNCTION("""COMPUTED_VALUE"""),102.06)</f>
        <v>102.06</v>
      </c>
      <c r="C1595" s="1">
        <f>IFERROR(__xludf.DUMMYFUNCTION("""COMPUTED_VALUE"""),103.48)</f>
        <v>103.48</v>
      </c>
      <c r="D1595" s="1">
        <f>IFERROR(__xludf.DUMMYFUNCTION("""COMPUTED_VALUE"""),101.96)</f>
        <v>101.96</v>
      </c>
      <c r="E1595" s="1">
        <f>IFERROR(__xludf.DUMMYFUNCTION("""COMPUTED_VALUE"""),102.35)</f>
        <v>102.35</v>
      </c>
      <c r="F1595" s="1">
        <f>IFERROR(__xludf.DUMMYFUNCTION("""COMPUTED_VALUE"""),81729.0)</f>
        <v>81729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IFERROR(__xludf.DUMMYFUNCTION("""COMPUTED_VALUE"""),102.23)</f>
        <v>102.23</v>
      </c>
      <c r="C1596" s="1">
        <f>IFERROR(__xludf.DUMMYFUNCTION("""COMPUTED_VALUE"""),105.68)</f>
        <v>105.68</v>
      </c>
      <c r="D1596" s="1">
        <f>IFERROR(__xludf.DUMMYFUNCTION("""COMPUTED_VALUE"""),101.72)</f>
        <v>101.72</v>
      </c>
      <c r="E1596" s="1">
        <f>IFERROR(__xludf.DUMMYFUNCTION("""COMPUTED_VALUE"""),104.73)</f>
        <v>104.73</v>
      </c>
      <c r="F1596" s="1">
        <f>IFERROR(__xludf.DUMMYFUNCTION("""COMPUTED_VALUE"""),119764.0)</f>
        <v>119764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IFERROR(__xludf.DUMMYFUNCTION("""COMPUTED_VALUE"""),105.06)</f>
        <v>105.06</v>
      </c>
      <c r="C1597" s="1">
        <f>IFERROR(__xludf.DUMMYFUNCTION("""COMPUTED_VALUE"""),105.67)</f>
        <v>105.67</v>
      </c>
      <c r="D1597" s="1">
        <f>IFERROR(__xludf.DUMMYFUNCTION("""COMPUTED_VALUE"""),103.82)</f>
        <v>103.82</v>
      </c>
      <c r="E1597" s="1">
        <f>IFERROR(__xludf.DUMMYFUNCTION("""COMPUTED_VALUE"""),104.6)</f>
        <v>104.6</v>
      </c>
      <c r="F1597" s="1">
        <f>IFERROR(__xludf.DUMMYFUNCTION("""COMPUTED_VALUE"""),48629.0)</f>
        <v>48629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IFERROR(__xludf.DUMMYFUNCTION("""COMPUTED_VALUE"""),103.7)</f>
        <v>103.7</v>
      </c>
      <c r="C1598" s="1">
        <f>IFERROR(__xludf.DUMMYFUNCTION("""COMPUTED_VALUE"""),105.48)</f>
        <v>105.48</v>
      </c>
      <c r="D1598" s="1">
        <f>IFERROR(__xludf.DUMMYFUNCTION("""COMPUTED_VALUE"""),103.53)</f>
        <v>103.53</v>
      </c>
      <c r="E1598" s="1">
        <f>IFERROR(__xludf.DUMMYFUNCTION("""COMPUTED_VALUE"""),105.25)</f>
        <v>105.25</v>
      </c>
      <c r="F1598" s="1">
        <f>IFERROR(__xludf.DUMMYFUNCTION("""COMPUTED_VALUE"""),62766.0)</f>
        <v>62766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IFERROR(__xludf.DUMMYFUNCTION("""COMPUTED_VALUE"""),104.98)</f>
        <v>104.98</v>
      </c>
      <c r="C1599" s="1">
        <f>IFERROR(__xludf.DUMMYFUNCTION("""COMPUTED_VALUE"""),106.12)</f>
        <v>106.12</v>
      </c>
      <c r="D1599" s="1">
        <f>IFERROR(__xludf.DUMMYFUNCTION("""COMPUTED_VALUE"""),104.27)</f>
        <v>104.27</v>
      </c>
      <c r="E1599" s="1">
        <f>IFERROR(__xludf.DUMMYFUNCTION("""COMPUTED_VALUE"""),105.3)</f>
        <v>105.3</v>
      </c>
      <c r="F1599" s="1">
        <f>IFERROR(__xludf.DUMMYFUNCTION("""COMPUTED_VALUE"""),52158.0)</f>
        <v>52158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IFERROR(__xludf.DUMMYFUNCTION("""COMPUTED_VALUE"""),105.87)</f>
        <v>105.87</v>
      </c>
      <c r="C1600" s="1">
        <f>IFERROR(__xludf.DUMMYFUNCTION("""COMPUTED_VALUE"""),106.11)</f>
        <v>106.11</v>
      </c>
      <c r="D1600" s="1">
        <f>IFERROR(__xludf.DUMMYFUNCTION("""COMPUTED_VALUE"""),104.61)</f>
        <v>104.61</v>
      </c>
      <c r="E1600" s="1">
        <f>IFERROR(__xludf.DUMMYFUNCTION("""COMPUTED_VALUE"""),105.48)</f>
        <v>105.48</v>
      </c>
      <c r="F1600" s="1">
        <f>IFERROR(__xludf.DUMMYFUNCTION("""COMPUTED_VALUE"""),129706.0)</f>
        <v>129706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IFERROR(__xludf.DUMMYFUNCTION("""COMPUTED_VALUE"""),105.28)</f>
        <v>105.28</v>
      </c>
      <c r="C1601" s="1">
        <f>IFERROR(__xludf.DUMMYFUNCTION("""COMPUTED_VALUE"""),106.08)</f>
        <v>106.08</v>
      </c>
      <c r="D1601" s="1">
        <f>IFERROR(__xludf.DUMMYFUNCTION("""COMPUTED_VALUE"""),104.1)</f>
        <v>104.1</v>
      </c>
      <c r="E1601" s="1">
        <f>IFERROR(__xludf.DUMMYFUNCTION("""COMPUTED_VALUE"""),104.19)</f>
        <v>104.19</v>
      </c>
      <c r="F1601" s="1">
        <f>IFERROR(__xludf.DUMMYFUNCTION("""COMPUTED_VALUE"""),60834.0)</f>
        <v>60834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IFERROR(__xludf.DUMMYFUNCTION("""COMPUTED_VALUE"""),104.58)</f>
        <v>104.58</v>
      </c>
      <c r="C1602" s="1">
        <f>IFERROR(__xludf.DUMMYFUNCTION("""COMPUTED_VALUE"""),106.17)</f>
        <v>106.17</v>
      </c>
      <c r="D1602" s="1">
        <f>IFERROR(__xludf.DUMMYFUNCTION("""COMPUTED_VALUE"""),103.68)</f>
        <v>103.68</v>
      </c>
      <c r="E1602" s="1">
        <f>IFERROR(__xludf.DUMMYFUNCTION("""COMPUTED_VALUE"""),106.01)</f>
        <v>106.01</v>
      </c>
      <c r="F1602" s="1">
        <f>IFERROR(__xludf.DUMMYFUNCTION("""COMPUTED_VALUE"""),67069.0)</f>
        <v>67069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IFERROR(__xludf.DUMMYFUNCTION("""COMPUTED_VALUE"""),105.94)</f>
        <v>105.94</v>
      </c>
      <c r="C1603" s="1">
        <f>IFERROR(__xludf.DUMMYFUNCTION("""COMPUTED_VALUE"""),105.94)</f>
        <v>105.94</v>
      </c>
      <c r="D1603" s="1">
        <f>IFERROR(__xludf.DUMMYFUNCTION("""COMPUTED_VALUE"""),104.08)</f>
        <v>104.08</v>
      </c>
      <c r="E1603" s="1">
        <f>IFERROR(__xludf.DUMMYFUNCTION("""COMPUTED_VALUE"""),104.57)</f>
        <v>104.57</v>
      </c>
      <c r="F1603" s="1">
        <f>IFERROR(__xludf.DUMMYFUNCTION("""COMPUTED_VALUE"""),42420.0)</f>
        <v>42420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IFERROR(__xludf.DUMMYFUNCTION("""COMPUTED_VALUE"""),105.01)</f>
        <v>105.01</v>
      </c>
      <c r="C1604" s="1">
        <f>IFERROR(__xludf.DUMMYFUNCTION("""COMPUTED_VALUE"""),106.36)</f>
        <v>106.36</v>
      </c>
      <c r="D1604" s="1">
        <f>IFERROR(__xludf.DUMMYFUNCTION("""COMPUTED_VALUE"""),102.35)</f>
        <v>102.35</v>
      </c>
      <c r="E1604" s="1">
        <f>IFERROR(__xludf.DUMMYFUNCTION("""COMPUTED_VALUE"""),105.83)</f>
        <v>105.83</v>
      </c>
      <c r="F1604" s="1">
        <f>IFERROR(__xludf.DUMMYFUNCTION("""COMPUTED_VALUE"""),78319.0)</f>
        <v>78319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IFERROR(__xludf.DUMMYFUNCTION("""COMPUTED_VALUE"""),105.63)</f>
        <v>105.63</v>
      </c>
      <c r="C1605" s="1">
        <f>IFERROR(__xludf.DUMMYFUNCTION("""COMPUTED_VALUE"""),105.63)</f>
        <v>105.63</v>
      </c>
      <c r="D1605" s="1">
        <f>IFERROR(__xludf.DUMMYFUNCTION("""COMPUTED_VALUE"""),102.53)</f>
        <v>102.53</v>
      </c>
      <c r="E1605" s="1">
        <f>IFERROR(__xludf.DUMMYFUNCTION("""COMPUTED_VALUE"""),103.01)</f>
        <v>103.01</v>
      </c>
      <c r="F1605" s="1">
        <f>IFERROR(__xludf.DUMMYFUNCTION("""COMPUTED_VALUE"""),143414.0)</f>
        <v>143414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IFERROR(__xludf.DUMMYFUNCTION("""COMPUTED_VALUE"""),102.97)</f>
        <v>102.97</v>
      </c>
      <c r="C1606" s="1">
        <f>IFERROR(__xludf.DUMMYFUNCTION("""COMPUTED_VALUE"""),103.75)</f>
        <v>103.75</v>
      </c>
      <c r="D1606" s="1">
        <f>IFERROR(__xludf.DUMMYFUNCTION("""COMPUTED_VALUE"""),101.37)</f>
        <v>101.37</v>
      </c>
      <c r="E1606" s="1">
        <f>IFERROR(__xludf.DUMMYFUNCTION("""COMPUTED_VALUE"""),102.87)</f>
        <v>102.87</v>
      </c>
      <c r="F1606" s="1">
        <f>IFERROR(__xludf.DUMMYFUNCTION("""COMPUTED_VALUE"""),64214.0)</f>
        <v>64214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IFERROR(__xludf.DUMMYFUNCTION("""COMPUTED_VALUE"""),102.87)</f>
        <v>102.87</v>
      </c>
      <c r="C1607" s="1">
        <f>IFERROR(__xludf.DUMMYFUNCTION("""COMPUTED_VALUE"""),103.85)</f>
        <v>103.85</v>
      </c>
      <c r="D1607" s="1">
        <f>IFERROR(__xludf.DUMMYFUNCTION("""COMPUTED_VALUE"""),102.04)</f>
        <v>102.04</v>
      </c>
      <c r="E1607" s="1">
        <f>IFERROR(__xludf.DUMMYFUNCTION("""COMPUTED_VALUE"""),103.01)</f>
        <v>103.01</v>
      </c>
      <c r="F1607" s="1">
        <f>IFERROR(__xludf.DUMMYFUNCTION("""COMPUTED_VALUE"""),47038.0)</f>
        <v>47038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IFERROR(__xludf.DUMMYFUNCTION("""COMPUTED_VALUE"""),104.02)</f>
        <v>104.02</v>
      </c>
      <c r="C1608" s="1">
        <f>IFERROR(__xludf.DUMMYFUNCTION("""COMPUTED_VALUE"""),104.06)</f>
        <v>104.06</v>
      </c>
      <c r="D1608" s="1">
        <f>IFERROR(__xludf.DUMMYFUNCTION("""COMPUTED_VALUE"""),102.05)</f>
        <v>102.05</v>
      </c>
      <c r="E1608" s="1">
        <f>IFERROR(__xludf.DUMMYFUNCTION("""COMPUTED_VALUE"""),102.81)</f>
        <v>102.81</v>
      </c>
      <c r="F1608" s="1">
        <f>IFERROR(__xludf.DUMMYFUNCTION("""COMPUTED_VALUE"""),73808.0)</f>
        <v>73808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IFERROR(__xludf.DUMMYFUNCTION("""COMPUTED_VALUE"""),102.99)</f>
        <v>102.99</v>
      </c>
      <c r="C1609" s="1">
        <f>IFERROR(__xludf.DUMMYFUNCTION("""COMPUTED_VALUE"""),103.64)</f>
        <v>103.64</v>
      </c>
      <c r="D1609" s="1">
        <f>IFERROR(__xludf.DUMMYFUNCTION("""COMPUTED_VALUE"""),102.23)</f>
        <v>102.23</v>
      </c>
      <c r="E1609" s="1">
        <f>IFERROR(__xludf.DUMMYFUNCTION("""COMPUTED_VALUE"""),103.24)</f>
        <v>103.24</v>
      </c>
      <c r="F1609" s="1">
        <f>IFERROR(__xludf.DUMMYFUNCTION("""COMPUTED_VALUE"""),56238.0)</f>
        <v>56238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IFERROR(__xludf.DUMMYFUNCTION("""COMPUTED_VALUE"""),103.37)</f>
        <v>103.37</v>
      </c>
      <c r="C1610" s="1">
        <f>IFERROR(__xludf.DUMMYFUNCTION("""COMPUTED_VALUE"""),106.01)</f>
        <v>106.01</v>
      </c>
      <c r="D1610" s="1">
        <f>IFERROR(__xludf.DUMMYFUNCTION("""COMPUTED_VALUE"""),103.37)</f>
        <v>103.37</v>
      </c>
      <c r="E1610" s="1">
        <f>IFERROR(__xludf.DUMMYFUNCTION("""COMPUTED_VALUE"""),105.9)</f>
        <v>105.9</v>
      </c>
      <c r="F1610" s="1">
        <f>IFERROR(__xludf.DUMMYFUNCTION("""COMPUTED_VALUE"""),79635.0)</f>
        <v>79635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IFERROR(__xludf.DUMMYFUNCTION("""COMPUTED_VALUE"""),106.19)</f>
        <v>106.19</v>
      </c>
      <c r="C1611" s="1">
        <f>IFERROR(__xludf.DUMMYFUNCTION("""COMPUTED_VALUE"""),106.87)</f>
        <v>106.87</v>
      </c>
      <c r="D1611" s="1">
        <f>IFERROR(__xludf.DUMMYFUNCTION("""COMPUTED_VALUE"""),105.19)</f>
        <v>105.19</v>
      </c>
      <c r="E1611" s="1">
        <f>IFERROR(__xludf.DUMMYFUNCTION("""COMPUTED_VALUE"""),106.14)</f>
        <v>106.14</v>
      </c>
      <c r="F1611" s="1">
        <f>IFERROR(__xludf.DUMMYFUNCTION("""COMPUTED_VALUE"""),63528.0)</f>
        <v>63528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IFERROR(__xludf.DUMMYFUNCTION("""COMPUTED_VALUE"""),106.39)</f>
        <v>106.39</v>
      </c>
      <c r="C1612" s="1">
        <f>IFERROR(__xludf.DUMMYFUNCTION("""COMPUTED_VALUE"""),107.44)</f>
        <v>107.44</v>
      </c>
      <c r="D1612" s="1">
        <f>IFERROR(__xludf.DUMMYFUNCTION("""COMPUTED_VALUE"""),105.34)</f>
        <v>105.34</v>
      </c>
      <c r="E1612" s="1">
        <f>IFERROR(__xludf.DUMMYFUNCTION("""COMPUTED_VALUE"""),105.75)</f>
        <v>105.75</v>
      </c>
      <c r="F1612" s="1">
        <f>IFERROR(__xludf.DUMMYFUNCTION("""COMPUTED_VALUE"""),44808.0)</f>
        <v>44808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IFERROR(__xludf.DUMMYFUNCTION("""COMPUTED_VALUE"""),105.42)</f>
        <v>105.42</v>
      </c>
      <c r="C1613" s="1">
        <f>IFERROR(__xludf.DUMMYFUNCTION("""COMPUTED_VALUE"""),106.66)</f>
        <v>106.66</v>
      </c>
      <c r="D1613" s="1">
        <f>IFERROR(__xludf.DUMMYFUNCTION("""COMPUTED_VALUE"""),105.4)</f>
        <v>105.4</v>
      </c>
      <c r="E1613" s="1">
        <f>IFERROR(__xludf.DUMMYFUNCTION("""COMPUTED_VALUE"""),105.79)</f>
        <v>105.79</v>
      </c>
      <c r="F1613" s="1">
        <f>IFERROR(__xludf.DUMMYFUNCTION("""COMPUTED_VALUE"""),35209.0)</f>
        <v>35209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IFERROR(__xludf.DUMMYFUNCTION("""COMPUTED_VALUE"""),106.11)</f>
        <v>106.11</v>
      </c>
      <c r="C1614" s="1">
        <f>IFERROR(__xludf.DUMMYFUNCTION("""COMPUTED_VALUE"""),106.38)</f>
        <v>106.38</v>
      </c>
      <c r="D1614" s="1">
        <f>IFERROR(__xludf.DUMMYFUNCTION("""COMPUTED_VALUE"""),105.06)</f>
        <v>105.06</v>
      </c>
      <c r="E1614" s="1">
        <f>IFERROR(__xludf.DUMMYFUNCTION("""COMPUTED_VALUE"""),105.5)</f>
        <v>105.5</v>
      </c>
      <c r="F1614" s="1">
        <f>IFERROR(__xludf.DUMMYFUNCTION("""COMPUTED_VALUE"""),59475.0)</f>
        <v>59475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IFERROR(__xludf.DUMMYFUNCTION("""COMPUTED_VALUE"""),105.49)</f>
        <v>105.49</v>
      </c>
      <c r="C1615" s="1">
        <f>IFERROR(__xludf.DUMMYFUNCTION("""COMPUTED_VALUE"""),106.94)</f>
        <v>106.94</v>
      </c>
      <c r="D1615" s="1">
        <f>IFERROR(__xludf.DUMMYFUNCTION("""COMPUTED_VALUE"""),104.07)</f>
        <v>104.07</v>
      </c>
      <c r="E1615" s="1">
        <f>IFERROR(__xludf.DUMMYFUNCTION("""COMPUTED_VALUE"""),106.55)</f>
        <v>106.55</v>
      </c>
      <c r="F1615" s="1">
        <f>IFERROR(__xludf.DUMMYFUNCTION("""COMPUTED_VALUE"""),65602.0)</f>
        <v>65602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IFERROR(__xludf.DUMMYFUNCTION("""COMPUTED_VALUE"""),106.23)</f>
        <v>106.23</v>
      </c>
      <c r="C1616" s="1">
        <f>IFERROR(__xludf.DUMMYFUNCTION("""COMPUTED_VALUE"""),106.7)</f>
        <v>106.7</v>
      </c>
      <c r="D1616" s="1">
        <f>IFERROR(__xludf.DUMMYFUNCTION("""COMPUTED_VALUE"""),105.39)</f>
        <v>105.39</v>
      </c>
      <c r="E1616" s="1">
        <f>IFERROR(__xludf.DUMMYFUNCTION("""COMPUTED_VALUE"""),106.64)</f>
        <v>106.64</v>
      </c>
      <c r="F1616" s="1">
        <f>IFERROR(__xludf.DUMMYFUNCTION("""COMPUTED_VALUE"""),49851.0)</f>
        <v>49851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IFERROR(__xludf.DUMMYFUNCTION("""COMPUTED_VALUE"""),106.55)</f>
        <v>106.55</v>
      </c>
      <c r="C1617" s="1">
        <f>IFERROR(__xludf.DUMMYFUNCTION("""COMPUTED_VALUE"""),107.06)</f>
        <v>107.06</v>
      </c>
      <c r="D1617" s="1">
        <f>IFERROR(__xludf.DUMMYFUNCTION("""COMPUTED_VALUE"""),99.52)</f>
        <v>99.52</v>
      </c>
      <c r="E1617" s="1">
        <f>IFERROR(__xludf.DUMMYFUNCTION("""COMPUTED_VALUE"""),106.47)</f>
        <v>106.47</v>
      </c>
      <c r="F1617" s="1">
        <f>IFERROR(__xludf.DUMMYFUNCTION("""COMPUTED_VALUE"""),49827.0)</f>
        <v>49827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IFERROR(__xludf.DUMMYFUNCTION("""COMPUTED_VALUE"""),106.37)</f>
        <v>106.37</v>
      </c>
      <c r="C1618" s="1">
        <f>IFERROR(__xludf.DUMMYFUNCTION("""COMPUTED_VALUE"""),107.45)</f>
        <v>107.45</v>
      </c>
      <c r="D1618" s="1">
        <f>IFERROR(__xludf.DUMMYFUNCTION("""COMPUTED_VALUE"""),106.11)</f>
        <v>106.11</v>
      </c>
      <c r="E1618" s="1">
        <f>IFERROR(__xludf.DUMMYFUNCTION("""COMPUTED_VALUE"""),106.87)</f>
        <v>106.87</v>
      </c>
      <c r="F1618" s="1">
        <f>IFERROR(__xludf.DUMMYFUNCTION("""COMPUTED_VALUE"""),38694.0)</f>
        <v>38694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IFERROR(__xludf.DUMMYFUNCTION("""COMPUTED_VALUE"""),106.78)</f>
        <v>106.78</v>
      </c>
      <c r="C1619" s="1">
        <f>IFERROR(__xludf.DUMMYFUNCTION("""COMPUTED_VALUE"""),107.39)</f>
        <v>107.39</v>
      </c>
      <c r="D1619" s="1">
        <f>IFERROR(__xludf.DUMMYFUNCTION("""COMPUTED_VALUE"""),106.16)</f>
        <v>106.16</v>
      </c>
      <c r="E1619" s="1">
        <f>IFERROR(__xludf.DUMMYFUNCTION("""COMPUTED_VALUE"""),107.21)</f>
        <v>107.21</v>
      </c>
      <c r="F1619" s="1">
        <f>IFERROR(__xludf.DUMMYFUNCTION("""COMPUTED_VALUE"""),33251.0)</f>
        <v>33251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IFERROR(__xludf.DUMMYFUNCTION("""COMPUTED_VALUE"""),107.2)</f>
        <v>107.2</v>
      </c>
      <c r="C1620" s="1">
        <f>IFERROR(__xludf.DUMMYFUNCTION("""COMPUTED_VALUE"""),108.83)</f>
        <v>108.83</v>
      </c>
      <c r="D1620" s="1">
        <f>IFERROR(__xludf.DUMMYFUNCTION("""COMPUTED_VALUE"""),106.63)</f>
        <v>106.63</v>
      </c>
      <c r="E1620" s="1">
        <f>IFERROR(__xludf.DUMMYFUNCTION("""COMPUTED_VALUE"""),108.8)</f>
        <v>108.8</v>
      </c>
      <c r="F1620" s="1">
        <f>IFERROR(__xludf.DUMMYFUNCTION("""COMPUTED_VALUE"""),55411.0)</f>
        <v>55411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IFERROR(__xludf.DUMMYFUNCTION("""COMPUTED_VALUE"""),108.64)</f>
        <v>108.64</v>
      </c>
      <c r="C1621" s="1">
        <f>IFERROR(__xludf.DUMMYFUNCTION("""COMPUTED_VALUE"""),109.2)</f>
        <v>109.2</v>
      </c>
      <c r="D1621" s="1">
        <f>IFERROR(__xludf.DUMMYFUNCTION("""COMPUTED_VALUE"""),108.14)</f>
        <v>108.14</v>
      </c>
      <c r="E1621" s="1">
        <f>IFERROR(__xludf.DUMMYFUNCTION("""COMPUTED_VALUE"""),108.95)</f>
        <v>108.95</v>
      </c>
      <c r="F1621" s="1">
        <f>IFERROR(__xludf.DUMMYFUNCTION("""COMPUTED_VALUE"""),39743.0)</f>
        <v>39743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IFERROR(__xludf.DUMMYFUNCTION("""COMPUTED_VALUE"""),108.61)</f>
        <v>108.61</v>
      </c>
      <c r="C1622" s="1">
        <f>IFERROR(__xludf.DUMMYFUNCTION("""COMPUTED_VALUE"""),109.41)</f>
        <v>109.41</v>
      </c>
      <c r="D1622" s="1">
        <f>IFERROR(__xludf.DUMMYFUNCTION("""COMPUTED_VALUE"""),108.14)</f>
        <v>108.14</v>
      </c>
      <c r="E1622" s="1">
        <f>IFERROR(__xludf.DUMMYFUNCTION("""COMPUTED_VALUE"""),109.16)</f>
        <v>109.16</v>
      </c>
      <c r="F1622" s="1">
        <f>IFERROR(__xludf.DUMMYFUNCTION("""COMPUTED_VALUE"""),46265.0)</f>
        <v>46265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IFERROR(__xludf.DUMMYFUNCTION("""COMPUTED_VALUE"""),108.85)</f>
        <v>108.85</v>
      </c>
      <c r="C1623" s="1">
        <f>IFERROR(__xludf.DUMMYFUNCTION("""COMPUTED_VALUE"""),108.85)</f>
        <v>108.85</v>
      </c>
      <c r="D1623" s="1">
        <f>IFERROR(__xludf.DUMMYFUNCTION("""COMPUTED_VALUE"""),105.66)</f>
        <v>105.66</v>
      </c>
      <c r="E1623" s="1">
        <f>IFERROR(__xludf.DUMMYFUNCTION("""COMPUTED_VALUE"""),108.16)</f>
        <v>108.16</v>
      </c>
      <c r="F1623" s="1">
        <f>IFERROR(__xludf.DUMMYFUNCTION("""COMPUTED_VALUE"""),92714.0)</f>
        <v>92714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IFERROR(__xludf.DUMMYFUNCTION("""COMPUTED_VALUE"""),107.96)</f>
        <v>107.96</v>
      </c>
      <c r="C1624" s="1">
        <f>IFERROR(__xludf.DUMMYFUNCTION("""COMPUTED_VALUE"""),108.51)</f>
        <v>108.51</v>
      </c>
      <c r="D1624" s="1">
        <f>IFERROR(__xludf.DUMMYFUNCTION("""COMPUTED_VALUE"""),105.71)</f>
        <v>105.71</v>
      </c>
      <c r="E1624" s="1">
        <f>IFERROR(__xludf.DUMMYFUNCTION("""COMPUTED_VALUE"""),108.5)</f>
        <v>108.5</v>
      </c>
      <c r="F1624" s="1">
        <f>IFERROR(__xludf.DUMMYFUNCTION("""COMPUTED_VALUE"""),47951.0)</f>
        <v>47951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IFERROR(__xludf.DUMMYFUNCTION("""COMPUTED_VALUE"""),108.7)</f>
        <v>108.7</v>
      </c>
      <c r="C1625" s="1">
        <f>IFERROR(__xludf.DUMMYFUNCTION("""COMPUTED_VALUE"""),109.06)</f>
        <v>109.06</v>
      </c>
      <c r="D1625" s="1">
        <f>IFERROR(__xludf.DUMMYFUNCTION("""COMPUTED_VALUE"""),106.34)</f>
        <v>106.34</v>
      </c>
      <c r="E1625" s="1">
        <f>IFERROR(__xludf.DUMMYFUNCTION("""COMPUTED_VALUE"""),108.4)</f>
        <v>108.4</v>
      </c>
      <c r="F1625" s="1">
        <f>IFERROR(__xludf.DUMMYFUNCTION("""COMPUTED_VALUE"""),79664.0)</f>
        <v>79664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IFERROR(__xludf.DUMMYFUNCTION("""COMPUTED_VALUE"""),108.33)</f>
        <v>108.33</v>
      </c>
      <c r="C1626" s="1">
        <f>IFERROR(__xludf.DUMMYFUNCTION("""COMPUTED_VALUE"""),109.54)</f>
        <v>109.54</v>
      </c>
      <c r="D1626" s="1">
        <f>IFERROR(__xludf.DUMMYFUNCTION("""COMPUTED_VALUE"""),107.99)</f>
        <v>107.99</v>
      </c>
      <c r="E1626" s="1">
        <f>IFERROR(__xludf.DUMMYFUNCTION("""COMPUTED_VALUE"""),109.46)</f>
        <v>109.46</v>
      </c>
      <c r="F1626" s="1">
        <f>IFERROR(__xludf.DUMMYFUNCTION("""COMPUTED_VALUE"""),52749.0)</f>
        <v>52749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IFERROR(__xludf.DUMMYFUNCTION("""COMPUTED_VALUE"""),109.69)</f>
        <v>109.69</v>
      </c>
      <c r="C1627" s="1">
        <f>IFERROR(__xludf.DUMMYFUNCTION("""COMPUTED_VALUE"""),109.69)</f>
        <v>109.69</v>
      </c>
      <c r="D1627" s="1">
        <f>IFERROR(__xludf.DUMMYFUNCTION("""COMPUTED_VALUE"""),107.63)</f>
        <v>107.63</v>
      </c>
      <c r="E1627" s="1">
        <f>IFERROR(__xludf.DUMMYFUNCTION("""COMPUTED_VALUE"""),109.52)</f>
        <v>109.52</v>
      </c>
      <c r="F1627" s="1">
        <f>IFERROR(__xludf.DUMMYFUNCTION("""COMPUTED_VALUE"""),171872.0)</f>
        <v>171872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IFERROR(__xludf.DUMMYFUNCTION("""COMPUTED_VALUE"""),110.08)</f>
        <v>110.08</v>
      </c>
      <c r="C1628" s="1">
        <f>IFERROR(__xludf.DUMMYFUNCTION("""COMPUTED_VALUE"""),111.6)</f>
        <v>111.6</v>
      </c>
      <c r="D1628" s="1">
        <f>IFERROR(__xludf.DUMMYFUNCTION("""COMPUTED_VALUE"""),109.0)</f>
        <v>109</v>
      </c>
      <c r="E1628" s="1">
        <f>IFERROR(__xludf.DUMMYFUNCTION("""COMPUTED_VALUE"""),109.51)</f>
        <v>109.51</v>
      </c>
      <c r="F1628" s="1">
        <f>IFERROR(__xludf.DUMMYFUNCTION("""COMPUTED_VALUE"""),77319.0)</f>
        <v>77319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IFERROR(__xludf.DUMMYFUNCTION("""COMPUTED_VALUE"""),109.74)</f>
        <v>109.74</v>
      </c>
      <c r="C1629" s="1">
        <f>IFERROR(__xludf.DUMMYFUNCTION("""COMPUTED_VALUE"""),111.54)</f>
        <v>111.54</v>
      </c>
      <c r="D1629" s="1">
        <f>IFERROR(__xludf.DUMMYFUNCTION("""COMPUTED_VALUE"""),109.37)</f>
        <v>109.37</v>
      </c>
      <c r="E1629" s="1">
        <f>IFERROR(__xludf.DUMMYFUNCTION("""COMPUTED_VALUE"""),111.01)</f>
        <v>111.01</v>
      </c>
      <c r="F1629" s="1">
        <f>IFERROR(__xludf.DUMMYFUNCTION("""COMPUTED_VALUE"""),48470.0)</f>
        <v>48470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IFERROR(__xludf.DUMMYFUNCTION("""COMPUTED_VALUE"""),110.84)</f>
        <v>110.84</v>
      </c>
      <c r="C1630" s="1">
        <f>IFERROR(__xludf.DUMMYFUNCTION("""COMPUTED_VALUE"""),111.87)</f>
        <v>111.87</v>
      </c>
      <c r="D1630" s="1">
        <f>IFERROR(__xludf.DUMMYFUNCTION("""COMPUTED_VALUE"""),110.84)</f>
        <v>110.84</v>
      </c>
      <c r="E1630" s="1">
        <f>IFERROR(__xludf.DUMMYFUNCTION("""COMPUTED_VALUE"""),111.28)</f>
        <v>111.28</v>
      </c>
      <c r="F1630" s="1">
        <f>IFERROR(__xludf.DUMMYFUNCTION("""COMPUTED_VALUE"""),44267.0)</f>
        <v>44267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IFERROR(__xludf.DUMMYFUNCTION("""COMPUTED_VALUE"""),112.3)</f>
        <v>112.3</v>
      </c>
      <c r="C1631" s="1">
        <f>IFERROR(__xludf.DUMMYFUNCTION("""COMPUTED_VALUE"""),113.69)</f>
        <v>113.69</v>
      </c>
      <c r="D1631" s="1">
        <f>IFERROR(__xludf.DUMMYFUNCTION("""COMPUTED_VALUE"""),111.87)</f>
        <v>111.87</v>
      </c>
      <c r="E1631" s="1">
        <f>IFERROR(__xludf.DUMMYFUNCTION("""COMPUTED_VALUE"""),113.53)</f>
        <v>113.53</v>
      </c>
      <c r="F1631" s="1">
        <f>IFERROR(__xludf.DUMMYFUNCTION("""COMPUTED_VALUE"""),80039.0)</f>
        <v>80039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IFERROR(__xludf.DUMMYFUNCTION("""COMPUTED_VALUE"""),111.13)</f>
        <v>111.13</v>
      </c>
      <c r="C1632" s="1">
        <f>IFERROR(__xludf.DUMMYFUNCTION("""COMPUTED_VALUE"""),113.93)</f>
        <v>113.93</v>
      </c>
      <c r="D1632" s="1">
        <f>IFERROR(__xludf.DUMMYFUNCTION("""COMPUTED_VALUE"""),109.93)</f>
        <v>109.93</v>
      </c>
      <c r="E1632" s="1">
        <f>IFERROR(__xludf.DUMMYFUNCTION("""COMPUTED_VALUE"""),112.76)</f>
        <v>112.76</v>
      </c>
      <c r="F1632" s="1">
        <f>IFERROR(__xludf.DUMMYFUNCTION("""COMPUTED_VALUE"""),149777.0)</f>
        <v>149777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IFERROR(__xludf.DUMMYFUNCTION("""COMPUTED_VALUE"""),111.92)</f>
        <v>111.92</v>
      </c>
      <c r="C1633" s="1">
        <f>IFERROR(__xludf.DUMMYFUNCTION("""COMPUTED_VALUE"""),113.62)</f>
        <v>113.62</v>
      </c>
      <c r="D1633" s="1">
        <f>IFERROR(__xludf.DUMMYFUNCTION("""COMPUTED_VALUE"""),111.04)</f>
        <v>111.04</v>
      </c>
      <c r="E1633" s="1">
        <f>IFERROR(__xludf.DUMMYFUNCTION("""COMPUTED_VALUE"""),113.1)</f>
        <v>113.1</v>
      </c>
      <c r="F1633" s="1">
        <f>IFERROR(__xludf.DUMMYFUNCTION("""COMPUTED_VALUE"""),103908.0)</f>
        <v>103908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IFERROR(__xludf.DUMMYFUNCTION("""COMPUTED_VALUE"""),114.09)</f>
        <v>114.09</v>
      </c>
      <c r="C1634" s="1">
        <f>IFERROR(__xludf.DUMMYFUNCTION("""COMPUTED_VALUE"""),114.09)</f>
        <v>114.09</v>
      </c>
      <c r="D1634" s="1">
        <f>IFERROR(__xludf.DUMMYFUNCTION("""COMPUTED_VALUE"""),112.39)</f>
        <v>112.39</v>
      </c>
      <c r="E1634" s="1">
        <f>IFERROR(__xludf.DUMMYFUNCTION("""COMPUTED_VALUE"""),113.0)</f>
        <v>113</v>
      </c>
      <c r="F1634" s="1">
        <f>IFERROR(__xludf.DUMMYFUNCTION("""COMPUTED_VALUE"""),98705.0)</f>
        <v>98705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IFERROR(__xludf.DUMMYFUNCTION("""COMPUTED_VALUE"""),113.62)</f>
        <v>113.62</v>
      </c>
      <c r="C1635" s="1">
        <f>IFERROR(__xludf.DUMMYFUNCTION("""COMPUTED_VALUE"""),115.58)</f>
        <v>115.58</v>
      </c>
      <c r="D1635" s="1">
        <f>IFERROR(__xludf.DUMMYFUNCTION("""COMPUTED_VALUE"""),113.47)</f>
        <v>113.47</v>
      </c>
      <c r="E1635" s="1">
        <f>IFERROR(__xludf.DUMMYFUNCTION("""COMPUTED_VALUE"""),115.54)</f>
        <v>115.54</v>
      </c>
      <c r="F1635" s="1">
        <f>IFERROR(__xludf.DUMMYFUNCTION("""COMPUTED_VALUE"""),75812.0)</f>
        <v>75812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IFERROR(__xludf.DUMMYFUNCTION("""COMPUTED_VALUE"""),115.76)</f>
        <v>115.76</v>
      </c>
      <c r="C1636" s="1">
        <f>IFERROR(__xludf.DUMMYFUNCTION("""COMPUTED_VALUE"""),119.58)</f>
        <v>119.58</v>
      </c>
      <c r="D1636" s="1">
        <f>IFERROR(__xludf.DUMMYFUNCTION("""COMPUTED_VALUE"""),115.43)</f>
        <v>115.43</v>
      </c>
      <c r="E1636" s="1">
        <f>IFERROR(__xludf.DUMMYFUNCTION("""COMPUTED_VALUE"""),119.27)</f>
        <v>119.27</v>
      </c>
      <c r="F1636" s="1">
        <f>IFERROR(__xludf.DUMMYFUNCTION("""COMPUTED_VALUE"""),164059.0)</f>
        <v>164059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IFERROR(__xludf.DUMMYFUNCTION("""COMPUTED_VALUE"""),119.03)</f>
        <v>119.03</v>
      </c>
      <c r="C1637" s="1">
        <f>IFERROR(__xludf.DUMMYFUNCTION("""COMPUTED_VALUE"""),120.26)</f>
        <v>120.26</v>
      </c>
      <c r="D1637" s="1">
        <f>IFERROR(__xludf.DUMMYFUNCTION("""COMPUTED_VALUE"""),117.54)</f>
        <v>117.54</v>
      </c>
      <c r="E1637" s="1">
        <f>IFERROR(__xludf.DUMMYFUNCTION("""COMPUTED_VALUE"""),117.65)</f>
        <v>117.65</v>
      </c>
      <c r="F1637" s="1">
        <f>IFERROR(__xludf.DUMMYFUNCTION("""COMPUTED_VALUE"""),79050.0)</f>
        <v>79050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IFERROR(__xludf.DUMMYFUNCTION("""COMPUTED_VALUE"""),116.94)</f>
        <v>116.94</v>
      </c>
      <c r="C1638" s="1">
        <f>IFERROR(__xludf.DUMMYFUNCTION("""COMPUTED_VALUE"""),119.6)</f>
        <v>119.6</v>
      </c>
      <c r="D1638" s="1">
        <f>IFERROR(__xludf.DUMMYFUNCTION("""COMPUTED_VALUE"""),116.83)</f>
        <v>116.83</v>
      </c>
      <c r="E1638" s="1">
        <f>IFERROR(__xludf.DUMMYFUNCTION("""COMPUTED_VALUE"""),117.94)</f>
        <v>117.94</v>
      </c>
      <c r="F1638" s="1">
        <f>IFERROR(__xludf.DUMMYFUNCTION("""COMPUTED_VALUE"""),61700.0)</f>
        <v>61700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IFERROR(__xludf.DUMMYFUNCTION("""COMPUTED_VALUE"""),117.25)</f>
        <v>117.25</v>
      </c>
      <c r="C1639" s="1">
        <f>IFERROR(__xludf.DUMMYFUNCTION("""COMPUTED_VALUE"""),118.65)</f>
        <v>118.65</v>
      </c>
      <c r="D1639" s="1">
        <f>IFERROR(__xludf.DUMMYFUNCTION("""COMPUTED_VALUE"""),117.25)</f>
        <v>117.25</v>
      </c>
      <c r="E1639" s="1">
        <f>IFERROR(__xludf.DUMMYFUNCTION("""COMPUTED_VALUE"""),118.48)</f>
        <v>118.48</v>
      </c>
      <c r="F1639" s="1">
        <f>IFERROR(__xludf.DUMMYFUNCTION("""COMPUTED_VALUE"""),51303.0)</f>
        <v>51303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IFERROR(__xludf.DUMMYFUNCTION("""COMPUTED_VALUE"""),119.07)</f>
        <v>119.07</v>
      </c>
      <c r="C1640" s="1">
        <f>IFERROR(__xludf.DUMMYFUNCTION("""COMPUTED_VALUE"""),120.23)</f>
        <v>120.23</v>
      </c>
      <c r="D1640" s="1">
        <f>IFERROR(__xludf.DUMMYFUNCTION("""COMPUTED_VALUE"""),117.86)</f>
        <v>117.86</v>
      </c>
      <c r="E1640" s="1">
        <f>IFERROR(__xludf.DUMMYFUNCTION("""COMPUTED_VALUE"""),118.73)</f>
        <v>118.73</v>
      </c>
      <c r="F1640" s="1">
        <f>IFERROR(__xludf.DUMMYFUNCTION("""COMPUTED_VALUE"""),51707.0)</f>
        <v>51707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IFERROR(__xludf.DUMMYFUNCTION("""COMPUTED_VALUE"""),119.61)</f>
        <v>119.61</v>
      </c>
      <c r="C1641" s="1">
        <f>IFERROR(__xludf.DUMMYFUNCTION("""COMPUTED_VALUE"""),120.87)</f>
        <v>120.87</v>
      </c>
      <c r="D1641" s="1">
        <f>IFERROR(__xludf.DUMMYFUNCTION("""COMPUTED_VALUE"""),118.57)</f>
        <v>118.57</v>
      </c>
      <c r="E1641" s="1">
        <f>IFERROR(__xludf.DUMMYFUNCTION("""COMPUTED_VALUE"""),120.46)</f>
        <v>120.46</v>
      </c>
      <c r="F1641" s="1">
        <f>IFERROR(__xludf.DUMMYFUNCTION("""COMPUTED_VALUE"""),56821.0)</f>
        <v>56821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IFERROR(__xludf.DUMMYFUNCTION("""COMPUTED_VALUE"""),120.93)</f>
        <v>120.93</v>
      </c>
      <c r="C1642" s="1">
        <f>IFERROR(__xludf.DUMMYFUNCTION("""COMPUTED_VALUE"""),121.32)</f>
        <v>121.32</v>
      </c>
      <c r="D1642" s="1">
        <f>IFERROR(__xludf.DUMMYFUNCTION("""COMPUTED_VALUE"""),119.42)</f>
        <v>119.42</v>
      </c>
      <c r="E1642" s="1">
        <f>IFERROR(__xludf.DUMMYFUNCTION("""COMPUTED_VALUE"""),120.65)</f>
        <v>120.65</v>
      </c>
      <c r="F1642" s="1">
        <f>IFERROR(__xludf.DUMMYFUNCTION("""COMPUTED_VALUE"""),43011.0)</f>
        <v>43011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IFERROR(__xludf.DUMMYFUNCTION("""COMPUTED_VALUE"""),120.65)</f>
        <v>120.65</v>
      </c>
      <c r="C1643" s="1">
        <f>IFERROR(__xludf.DUMMYFUNCTION("""COMPUTED_VALUE"""),121.31)</f>
        <v>121.31</v>
      </c>
      <c r="D1643" s="1">
        <f>IFERROR(__xludf.DUMMYFUNCTION("""COMPUTED_VALUE"""),119.27)</f>
        <v>119.27</v>
      </c>
      <c r="E1643" s="1">
        <f>IFERROR(__xludf.DUMMYFUNCTION("""COMPUTED_VALUE"""),120.14)</f>
        <v>120.14</v>
      </c>
      <c r="F1643" s="1">
        <f>IFERROR(__xludf.DUMMYFUNCTION("""COMPUTED_VALUE"""),65800.0)</f>
        <v>65800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IFERROR(__xludf.DUMMYFUNCTION("""COMPUTED_VALUE"""),120.64)</f>
        <v>120.64</v>
      </c>
      <c r="C1644" s="1">
        <f>IFERROR(__xludf.DUMMYFUNCTION("""COMPUTED_VALUE"""),121.3)</f>
        <v>121.3</v>
      </c>
      <c r="D1644" s="1">
        <f>IFERROR(__xludf.DUMMYFUNCTION("""COMPUTED_VALUE"""),119.28)</f>
        <v>119.28</v>
      </c>
      <c r="E1644" s="1">
        <f>IFERROR(__xludf.DUMMYFUNCTION("""COMPUTED_VALUE"""),121.05)</f>
        <v>121.05</v>
      </c>
      <c r="F1644" s="1">
        <f>IFERROR(__xludf.DUMMYFUNCTION("""COMPUTED_VALUE"""),55150.0)</f>
        <v>55150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IFERROR(__xludf.DUMMYFUNCTION("""COMPUTED_VALUE"""),121.17)</f>
        <v>121.17</v>
      </c>
      <c r="C1645" s="1">
        <f>IFERROR(__xludf.DUMMYFUNCTION("""COMPUTED_VALUE"""),121.49)</f>
        <v>121.49</v>
      </c>
      <c r="D1645" s="1">
        <f>IFERROR(__xludf.DUMMYFUNCTION("""COMPUTED_VALUE"""),119.89)</f>
        <v>119.89</v>
      </c>
      <c r="E1645" s="1">
        <f>IFERROR(__xludf.DUMMYFUNCTION("""COMPUTED_VALUE"""),120.07)</f>
        <v>120.07</v>
      </c>
      <c r="F1645" s="1">
        <f>IFERROR(__xludf.DUMMYFUNCTION("""COMPUTED_VALUE"""),49247.0)</f>
        <v>49247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IFERROR(__xludf.DUMMYFUNCTION("""COMPUTED_VALUE"""),120.84)</f>
        <v>120.84</v>
      </c>
      <c r="C1646" s="1">
        <f>IFERROR(__xludf.DUMMYFUNCTION("""COMPUTED_VALUE"""),121.5)</f>
        <v>121.5</v>
      </c>
      <c r="D1646" s="1">
        <f>IFERROR(__xludf.DUMMYFUNCTION("""COMPUTED_VALUE"""),118.96)</f>
        <v>118.96</v>
      </c>
      <c r="E1646" s="1">
        <f>IFERROR(__xludf.DUMMYFUNCTION("""COMPUTED_VALUE"""),120.18)</f>
        <v>120.18</v>
      </c>
      <c r="F1646" s="1">
        <f>IFERROR(__xludf.DUMMYFUNCTION("""COMPUTED_VALUE"""),58970.0)</f>
        <v>58970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IFERROR(__xludf.DUMMYFUNCTION("""COMPUTED_VALUE"""),120.5)</f>
        <v>120.5</v>
      </c>
      <c r="C1647" s="1">
        <f>IFERROR(__xludf.DUMMYFUNCTION("""COMPUTED_VALUE"""),121.3)</f>
        <v>121.3</v>
      </c>
      <c r="D1647" s="1">
        <f>IFERROR(__xludf.DUMMYFUNCTION("""COMPUTED_VALUE"""),119.92)</f>
        <v>119.92</v>
      </c>
      <c r="E1647" s="1">
        <f>IFERROR(__xludf.DUMMYFUNCTION("""COMPUTED_VALUE"""),120.51)</f>
        <v>120.51</v>
      </c>
      <c r="F1647" s="1">
        <f>IFERROR(__xludf.DUMMYFUNCTION("""COMPUTED_VALUE"""),38804.0)</f>
        <v>38804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IFERROR(__xludf.DUMMYFUNCTION("""COMPUTED_VALUE"""),120.75)</f>
        <v>120.75</v>
      </c>
      <c r="C1648" s="1">
        <f>IFERROR(__xludf.DUMMYFUNCTION("""COMPUTED_VALUE"""),121.04)</f>
        <v>121.04</v>
      </c>
      <c r="D1648" s="1">
        <f>IFERROR(__xludf.DUMMYFUNCTION("""COMPUTED_VALUE"""),120.12)</f>
        <v>120.12</v>
      </c>
      <c r="E1648" s="1">
        <f>IFERROR(__xludf.DUMMYFUNCTION("""COMPUTED_VALUE"""),120.76)</f>
        <v>120.76</v>
      </c>
      <c r="F1648" s="1">
        <f>IFERROR(__xludf.DUMMYFUNCTION("""COMPUTED_VALUE"""),33638.0)</f>
        <v>33638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IFERROR(__xludf.DUMMYFUNCTION("""COMPUTED_VALUE"""),121.37)</f>
        <v>121.37</v>
      </c>
      <c r="C1649" s="1">
        <f>IFERROR(__xludf.DUMMYFUNCTION("""COMPUTED_VALUE"""),121.37)</f>
        <v>121.37</v>
      </c>
      <c r="D1649" s="1">
        <f>IFERROR(__xludf.DUMMYFUNCTION("""COMPUTED_VALUE"""),119.88)</f>
        <v>119.88</v>
      </c>
      <c r="E1649" s="1">
        <f>IFERROR(__xludf.DUMMYFUNCTION("""COMPUTED_VALUE"""),120.69)</f>
        <v>120.69</v>
      </c>
      <c r="F1649" s="1">
        <f>IFERROR(__xludf.DUMMYFUNCTION("""COMPUTED_VALUE"""),46747.0)</f>
        <v>46747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IFERROR(__xludf.DUMMYFUNCTION("""COMPUTED_VALUE"""),120.32)</f>
        <v>120.32</v>
      </c>
      <c r="C1650" s="1">
        <f>IFERROR(__xludf.DUMMYFUNCTION("""COMPUTED_VALUE"""),121.45)</f>
        <v>121.45</v>
      </c>
      <c r="D1650" s="1">
        <f>IFERROR(__xludf.DUMMYFUNCTION("""COMPUTED_VALUE"""),119.52)</f>
        <v>119.52</v>
      </c>
      <c r="E1650" s="1">
        <f>IFERROR(__xludf.DUMMYFUNCTION("""COMPUTED_VALUE"""),121.33)</f>
        <v>121.33</v>
      </c>
      <c r="F1650" s="1">
        <f>IFERROR(__xludf.DUMMYFUNCTION("""COMPUTED_VALUE"""),63641.0)</f>
        <v>63641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IFERROR(__xludf.DUMMYFUNCTION("""COMPUTED_VALUE"""),121.61)</f>
        <v>121.61</v>
      </c>
      <c r="C1651" s="1">
        <f>IFERROR(__xludf.DUMMYFUNCTION("""COMPUTED_VALUE"""),122.49)</f>
        <v>122.49</v>
      </c>
      <c r="D1651" s="1">
        <f>IFERROR(__xludf.DUMMYFUNCTION("""COMPUTED_VALUE"""),120.79)</f>
        <v>120.79</v>
      </c>
      <c r="E1651" s="1">
        <f>IFERROR(__xludf.DUMMYFUNCTION("""COMPUTED_VALUE"""),121.18)</f>
        <v>121.18</v>
      </c>
      <c r="F1651" s="1">
        <f>IFERROR(__xludf.DUMMYFUNCTION("""COMPUTED_VALUE"""),50116.0)</f>
        <v>50116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IFERROR(__xludf.DUMMYFUNCTION("""COMPUTED_VALUE"""),121.0)</f>
        <v>121</v>
      </c>
      <c r="C1652" s="1">
        <f>IFERROR(__xludf.DUMMYFUNCTION("""COMPUTED_VALUE"""),121.5)</f>
        <v>121.5</v>
      </c>
      <c r="D1652" s="1">
        <f>IFERROR(__xludf.DUMMYFUNCTION("""COMPUTED_VALUE"""),120.05)</f>
        <v>120.05</v>
      </c>
      <c r="E1652" s="1">
        <f>IFERROR(__xludf.DUMMYFUNCTION("""COMPUTED_VALUE"""),120.84)</f>
        <v>120.84</v>
      </c>
      <c r="F1652" s="1">
        <f>IFERROR(__xludf.DUMMYFUNCTION("""COMPUTED_VALUE"""),60103.0)</f>
        <v>60103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IFERROR(__xludf.DUMMYFUNCTION("""COMPUTED_VALUE"""),122.6)</f>
        <v>122.6</v>
      </c>
      <c r="C1653" s="1">
        <f>IFERROR(__xludf.DUMMYFUNCTION("""COMPUTED_VALUE"""),124.06)</f>
        <v>124.06</v>
      </c>
      <c r="D1653" s="1">
        <f>IFERROR(__xludf.DUMMYFUNCTION("""COMPUTED_VALUE"""),120.93)</f>
        <v>120.93</v>
      </c>
      <c r="E1653" s="1">
        <f>IFERROR(__xludf.DUMMYFUNCTION("""COMPUTED_VALUE"""),121.72)</f>
        <v>121.72</v>
      </c>
      <c r="F1653" s="1">
        <f>IFERROR(__xludf.DUMMYFUNCTION("""COMPUTED_VALUE"""),115216.0)</f>
        <v>115216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IFERROR(__xludf.DUMMYFUNCTION("""COMPUTED_VALUE"""),121.5)</f>
        <v>121.5</v>
      </c>
      <c r="C1654" s="1">
        <f>IFERROR(__xludf.DUMMYFUNCTION("""COMPUTED_VALUE"""),122.13)</f>
        <v>122.13</v>
      </c>
      <c r="D1654" s="1">
        <f>IFERROR(__xludf.DUMMYFUNCTION("""COMPUTED_VALUE"""),120.79)</f>
        <v>120.79</v>
      </c>
      <c r="E1654" s="1">
        <f>IFERROR(__xludf.DUMMYFUNCTION("""COMPUTED_VALUE"""),121.51)</f>
        <v>121.51</v>
      </c>
      <c r="F1654" s="1">
        <f>IFERROR(__xludf.DUMMYFUNCTION("""COMPUTED_VALUE"""),100043.0)</f>
        <v>100043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IFERROR(__xludf.DUMMYFUNCTION("""COMPUTED_VALUE"""),121.82)</f>
        <v>121.82</v>
      </c>
      <c r="C1655" s="1">
        <f>IFERROR(__xludf.DUMMYFUNCTION("""COMPUTED_VALUE"""),123.01)</f>
        <v>123.01</v>
      </c>
      <c r="D1655" s="1">
        <f>IFERROR(__xludf.DUMMYFUNCTION("""COMPUTED_VALUE"""),120.95)</f>
        <v>120.95</v>
      </c>
      <c r="E1655" s="1">
        <f>IFERROR(__xludf.DUMMYFUNCTION("""COMPUTED_VALUE"""),122.73)</f>
        <v>122.73</v>
      </c>
      <c r="F1655" s="1">
        <f>IFERROR(__xludf.DUMMYFUNCTION("""COMPUTED_VALUE"""),66240.0)</f>
        <v>66240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IFERROR(__xludf.DUMMYFUNCTION("""COMPUTED_VALUE"""),122.57)</f>
        <v>122.57</v>
      </c>
      <c r="C1656" s="1">
        <f>IFERROR(__xludf.DUMMYFUNCTION("""COMPUTED_VALUE"""),123.42)</f>
        <v>123.42</v>
      </c>
      <c r="D1656" s="1">
        <f>IFERROR(__xludf.DUMMYFUNCTION("""COMPUTED_VALUE"""),121.47)</f>
        <v>121.47</v>
      </c>
      <c r="E1656" s="1">
        <f>IFERROR(__xludf.DUMMYFUNCTION("""COMPUTED_VALUE"""),121.61)</f>
        <v>121.61</v>
      </c>
      <c r="F1656" s="1">
        <f>IFERROR(__xludf.DUMMYFUNCTION("""COMPUTED_VALUE"""),124502.0)</f>
        <v>124502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IFERROR(__xludf.DUMMYFUNCTION("""COMPUTED_VALUE"""),121.61)</f>
        <v>121.61</v>
      </c>
      <c r="C1657" s="1">
        <f>IFERROR(__xludf.DUMMYFUNCTION("""COMPUTED_VALUE"""),123.16)</f>
        <v>123.16</v>
      </c>
      <c r="D1657" s="1">
        <f>IFERROR(__xludf.DUMMYFUNCTION("""COMPUTED_VALUE"""),120.75)</f>
        <v>120.75</v>
      </c>
      <c r="E1657" s="1">
        <f>IFERROR(__xludf.DUMMYFUNCTION("""COMPUTED_VALUE"""),122.34)</f>
        <v>122.34</v>
      </c>
      <c r="F1657" s="1">
        <f>IFERROR(__xludf.DUMMYFUNCTION("""COMPUTED_VALUE"""),73085.0)</f>
        <v>73085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IFERROR(__xludf.DUMMYFUNCTION("""COMPUTED_VALUE"""),122.39)</f>
        <v>122.39</v>
      </c>
      <c r="C1658" s="1">
        <f>IFERROR(__xludf.DUMMYFUNCTION("""COMPUTED_VALUE"""),122.85)</f>
        <v>122.85</v>
      </c>
      <c r="D1658" s="1">
        <f>IFERROR(__xludf.DUMMYFUNCTION("""COMPUTED_VALUE"""),121.62)</f>
        <v>121.62</v>
      </c>
      <c r="E1658" s="1">
        <f>IFERROR(__xludf.DUMMYFUNCTION("""COMPUTED_VALUE"""),121.74)</f>
        <v>121.74</v>
      </c>
      <c r="F1658" s="1">
        <f>IFERROR(__xludf.DUMMYFUNCTION("""COMPUTED_VALUE"""),67952.0)</f>
        <v>67952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IFERROR(__xludf.DUMMYFUNCTION("""COMPUTED_VALUE"""),122.04)</f>
        <v>122.04</v>
      </c>
      <c r="C1659" s="1">
        <f>IFERROR(__xludf.DUMMYFUNCTION("""COMPUTED_VALUE"""),122.5)</f>
        <v>122.5</v>
      </c>
      <c r="D1659" s="1">
        <f>IFERROR(__xludf.DUMMYFUNCTION("""COMPUTED_VALUE"""),120.8)</f>
        <v>120.8</v>
      </c>
      <c r="E1659" s="1">
        <f>IFERROR(__xludf.DUMMYFUNCTION("""COMPUTED_VALUE"""),121.61)</f>
        <v>121.61</v>
      </c>
      <c r="F1659" s="1">
        <f>IFERROR(__xludf.DUMMYFUNCTION("""COMPUTED_VALUE"""),70473.0)</f>
        <v>70473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IFERROR(__xludf.DUMMYFUNCTION("""COMPUTED_VALUE"""),121.28)</f>
        <v>121.28</v>
      </c>
      <c r="C1660" s="1">
        <f>IFERROR(__xludf.DUMMYFUNCTION("""COMPUTED_VALUE"""),122.57)</f>
        <v>122.57</v>
      </c>
      <c r="D1660" s="1">
        <f>IFERROR(__xludf.DUMMYFUNCTION("""COMPUTED_VALUE"""),120.72)</f>
        <v>120.72</v>
      </c>
      <c r="E1660" s="1">
        <f>IFERROR(__xludf.DUMMYFUNCTION("""COMPUTED_VALUE"""),120.96)</f>
        <v>120.96</v>
      </c>
      <c r="F1660" s="1">
        <f>IFERROR(__xludf.DUMMYFUNCTION("""COMPUTED_VALUE"""),60248.0)</f>
        <v>60248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IFERROR(__xludf.DUMMYFUNCTION("""COMPUTED_VALUE"""),121.49)</f>
        <v>121.49</v>
      </c>
      <c r="C1661" s="1">
        <f>IFERROR(__xludf.DUMMYFUNCTION("""COMPUTED_VALUE"""),122.25)</f>
        <v>122.25</v>
      </c>
      <c r="D1661" s="1">
        <f>IFERROR(__xludf.DUMMYFUNCTION("""COMPUTED_VALUE"""),120.84)</f>
        <v>120.84</v>
      </c>
      <c r="E1661" s="1">
        <f>IFERROR(__xludf.DUMMYFUNCTION("""COMPUTED_VALUE"""),121.15)</f>
        <v>121.15</v>
      </c>
      <c r="F1661" s="1">
        <f>IFERROR(__xludf.DUMMYFUNCTION("""COMPUTED_VALUE"""),76655.0)</f>
        <v>76655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IFERROR(__xludf.DUMMYFUNCTION("""COMPUTED_VALUE"""),120.91)</f>
        <v>120.91</v>
      </c>
      <c r="C1662" s="1">
        <f>IFERROR(__xludf.DUMMYFUNCTION("""COMPUTED_VALUE"""),121.37)</f>
        <v>121.37</v>
      </c>
      <c r="D1662" s="1">
        <f>IFERROR(__xludf.DUMMYFUNCTION("""COMPUTED_VALUE"""),120.2)</f>
        <v>120.2</v>
      </c>
      <c r="E1662" s="1">
        <f>IFERROR(__xludf.DUMMYFUNCTION("""COMPUTED_VALUE"""),120.24)</f>
        <v>120.24</v>
      </c>
      <c r="F1662" s="1">
        <f>IFERROR(__xludf.DUMMYFUNCTION("""COMPUTED_VALUE"""),49023.0)</f>
        <v>49023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IFERROR(__xludf.DUMMYFUNCTION("""COMPUTED_VALUE"""),120.26)</f>
        <v>120.26</v>
      </c>
      <c r="C1663" s="1">
        <f>IFERROR(__xludf.DUMMYFUNCTION("""COMPUTED_VALUE"""),121.48)</f>
        <v>121.48</v>
      </c>
      <c r="D1663" s="1">
        <f>IFERROR(__xludf.DUMMYFUNCTION("""COMPUTED_VALUE"""),120.26)</f>
        <v>120.26</v>
      </c>
      <c r="E1663" s="1">
        <f>IFERROR(__xludf.DUMMYFUNCTION("""COMPUTED_VALUE"""),121.09)</f>
        <v>121.09</v>
      </c>
      <c r="F1663" s="1">
        <f>IFERROR(__xludf.DUMMYFUNCTION("""COMPUTED_VALUE"""),47810.0)</f>
        <v>47810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IFERROR(__xludf.DUMMYFUNCTION("""COMPUTED_VALUE"""),120.99)</f>
        <v>120.99</v>
      </c>
      <c r="C1664" s="1">
        <f>IFERROR(__xludf.DUMMYFUNCTION("""COMPUTED_VALUE"""),121.82)</f>
        <v>121.82</v>
      </c>
      <c r="D1664" s="1">
        <f>IFERROR(__xludf.DUMMYFUNCTION("""COMPUTED_VALUE"""),120.85)</f>
        <v>120.85</v>
      </c>
      <c r="E1664" s="1">
        <f>IFERROR(__xludf.DUMMYFUNCTION("""COMPUTED_VALUE"""),121.27)</f>
        <v>121.27</v>
      </c>
      <c r="F1664" s="1">
        <f>IFERROR(__xludf.DUMMYFUNCTION("""COMPUTED_VALUE"""),37944.0)</f>
        <v>37944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IFERROR(__xludf.DUMMYFUNCTION("""COMPUTED_VALUE"""),121.49)</f>
        <v>121.49</v>
      </c>
      <c r="C1665" s="1">
        <f>IFERROR(__xludf.DUMMYFUNCTION("""COMPUTED_VALUE"""),121.77)</f>
        <v>121.77</v>
      </c>
      <c r="D1665" s="1">
        <f>IFERROR(__xludf.DUMMYFUNCTION("""COMPUTED_VALUE"""),120.6)</f>
        <v>120.6</v>
      </c>
      <c r="E1665" s="1">
        <f>IFERROR(__xludf.DUMMYFUNCTION("""COMPUTED_VALUE"""),121.48)</f>
        <v>121.48</v>
      </c>
      <c r="F1665" s="1">
        <f>IFERROR(__xludf.DUMMYFUNCTION("""COMPUTED_VALUE"""),47834.0)</f>
        <v>47834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IFERROR(__xludf.DUMMYFUNCTION("""COMPUTED_VALUE"""),121.62)</f>
        <v>121.62</v>
      </c>
      <c r="C1666" s="1">
        <f>IFERROR(__xludf.DUMMYFUNCTION("""COMPUTED_VALUE"""),122.48)</f>
        <v>122.48</v>
      </c>
      <c r="D1666" s="1">
        <f>IFERROR(__xludf.DUMMYFUNCTION("""COMPUTED_VALUE"""),121.49)</f>
        <v>121.49</v>
      </c>
      <c r="E1666" s="1">
        <f>IFERROR(__xludf.DUMMYFUNCTION("""COMPUTED_VALUE"""),122.37)</f>
        <v>122.37</v>
      </c>
      <c r="F1666" s="1">
        <f>IFERROR(__xludf.DUMMYFUNCTION("""COMPUTED_VALUE"""),34065.0)</f>
        <v>34065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IFERROR(__xludf.DUMMYFUNCTION("""COMPUTED_VALUE"""),122.16)</f>
        <v>122.16</v>
      </c>
      <c r="C1667" s="1">
        <f>IFERROR(__xludf.DUMMYFUNCTION("""COMPUTED_VALUE"""),123.2)</f>
        <v>123.2</v>
      </c>
      <c r="D1667" s="1">
        <f>IFERROR(__xludf.DUMMYFUNCTION("""COMPUTED_VALUE"""),122.14)</f>
        <v>122.14</v>
      </c>
      <c r="E1667" s="1">
        <f>IFERROR(__xludf.DUMMYFUNCTION("""COMPUTED_VALUE"""),122.73)</f>
        <v>122.73</v>
      </c>
      <c r="F1667" s="1">
        <f>IFERROR(__xludf.DUMMYFUNCTION("""COMPUTED_VALUE"""),30074.0)</f>
        <v>30074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IFERROR(__xludf.DUMMYFUNCTION("""COMPUTED_VALUE"""),122.88)</f>
        <v>122.88</v>
      </c>
      <c r="C1668" s="1">
        <f>IFERROR(__xludf.DUMMYFUNCTION("""COMPUTED_VALUE"""),122.88)</f>
        <v>122.88</v>
      </c>
      <c r="D1668" s="1">
        <f>IFERROR(__xludf.DUMMYFUNCTION("""COMPUTED_VALUE"""),121.52)</f>
        <v>121.52</v>
      </c>
      <c r="E1668" s="1">
        <f>IFERROR(__xludf.DUMMYFUNCTION("""COMPUTED_VALUE"""),121.64)</f>
        <v>121.64</v>
      </c>
      <c r="F1668" s="1">
        <f>IFERROR(__xludf.DUMMYFUNCTION("""COMPUTED_VALUE"""),51826.0)</f>
        <v>51826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IFERROR(__xludf.DUMMYFUNCTION("""COMPUTED_VALUE"""),121.48)</f>
        <v>121.48</v>
      </c>
      <c r="C1669" s="1">
        <f>IFERROR(__xludf.DUMMYFUNCTION("""COMPUTED_VALUE"""),122.7)</f>
        <v>122.7</v>
      </c>
      <c r="D1669" s="1">
        <f>IFERROR(__xludf.DUMMYFUNCTION("""COMPUTED_VALUE"""),120.81)</f>
        <v>120.81</v>
      </c>
      <c r="E1669" s="1">
        <f>IFERROR(__xludf.DUMMYFUNCTION("""COMPUTED_VALUE"""),122.08)</f>
        <v>122.08</v>
      </c>
      <c r="F1669" s="1">
        <f>IFERROR(__xludf.DUMMYFUNCTION("""COMPUTED_VALUE"""),41657.0)</f>
        <v>41657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IFERROR(__xludf.DUMMYFUNCTION("""COMPUTED_VALUE"""),122.08)</f>
        <v>122.08</v>
      </c>
      <c r="C1670" s="1">
        <f>IFERROR(__xludf.DUMMYFUNCTION("""COMPUTED_VALUE"""),122.66)</f>
        <v>122.66</v>
      </c>
      <c r="D1670" s="1">
        <f>IFERROR(__xludf.DUMMYFUNCTION("""COMPUTED_VALUE"""),121.14)</f>
        <v>121.14</v>
      </c>
      <c r="E1670" s="1">
        <f>IFERROR(__xludf.DUMMYFUNCTION("""COMPUTED_VALUE"""),121.84)</f>
        <v>121.84</v>
      </c>
      <c r="F1670" s="1">
        <f>IFERROR(__xludf.DUMMYFUNCTION("""COMPUTED_VALUE"""),87492.0)</f>
        <v>87492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IFERROR(__xludf.DUMMYFUNCTION("""COMPUTED_VALUE"""),121.72)</f>
        <v>121.72</v>
      </c>
      <c r="C1671" s="1">
        <f>IFERROR(__xludf.DUMMYFUNCTION("""COMPUTED_VALUE"""),123.25)</f>
        <v>123.25</v>
      </c>
      <c r="D1671" s="1">
        <f>IFERROR(__xludf.DUMMYFUNCTION("""COMPUTED_VALUE"""),121.72)</f>
        <v>121.72</v>
      </c>
      <c r="E1671" s="1">
        <f>IFERROR(__xludf.DUMMYFUNCTION("""COMPUTED_VALUE"""),122.39)</f>
        <v>122.39</v>
      </c>
      <c r="F1671" s="1">
        <f>IFERROR(__xludf.DUMMYFUNCTION("""COMPUTED_VALUE"""),57127.0)</f>
        <v>57127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IFERROR(__xludf.DUMMYFUNCTION("""COMPUTED_VALUE"""),121.89)</f>
        <v>121.89</v>
      </c>
      <c r="C1672" s="1">
        <f>IFERROR(__xludf.DUMMYFUNCTION("""COMPUTED_VALUE"""),123.48)</f>
        <v>123.48</v>
      </c>
      <c r="D1672" s="1">
        <f>IFERROR(__xludf.DUMMYFUNCTION("""COMPUTED_VALUE"""),121.63)</f>
        <v>121.63</v>
      </c>
      <c r="E1672" s="1">
        <f>IFERROR(__xludf.DUMMYFUNCTION("""COMPUTED_VALUE"""),122.79)</f>
        <v>122.79</v>
      </c>
      <c r="F1672" s="1">
        <f>IFERROR(__xludf.DUMMYFUNCTION("""COMPUTED_VALUE"""),41116.0)</f>
        <v>41116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IFERROR(__xludf.DUMMYFUNCTION("""COMPUTED_VALUE"""),122.69)</f>
        <v>122.69</v>
      </c>
      <c r="C1673" s="1">
        <f>IFERROR(__xludf.DUMMYFUNCTION("""COMPUTED_VALUE"""),123.3)</f>
        <v>123.3</v>
      </c>
      <c r="D1673" s="1">
        <f>IFERROR(__xludf.DUMMYFUNCTION("""COMPUTED_VALUE"""),122.03)</f>
        <v>122.03</v>
      </c>
      <c r="E1673" s="1">
        <f>IFERROR(__xludf.DUMMYFUNCTION("""COMPUTED_VALUE"""),122.69)</f>
        <v>122.69</v>
      </c>
      <c r="F1673" s="1">
        <f>IFERROR(__xludf.DUMMYFUNCTION("""COMPUTED_VALUE"""),30935.0)</f>
        <v>30935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IFERROR(__xludf.DUMMYFUNCTION("""COMPUTED_VALUE"""),122.69)</f>
        <v>122.69</v>
      </c>
      <c r="C1674" s="1">
        <f>IFERROR(__xludf.DUMMYFUNCTION("""COMPUTED_VALUE"""),122.69)</f>
        <v>122.69</v>
      </c>
      <c r="D1674" s="1">
        <f>IFERROR(__xludf.DUMMYFUNCTION("""COMPUTED_VALUE"""),120.48)</f>
        <v>120.48</v>
      </c>
      <c r="E1674" s="1">
        <f>IFERROR(__xludf.DUMMYFUNCTION("""COMPUTED_VALUE"""),121.47)</f>
        <v>121.47</v>
      </c>
      <c r="F1674" s="1">
        <f>IFERROR(__xludf.DUMMYFUNCTION("""COMPUTED_VALUE"""),71834.0)</f>
        <v>71834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IFERROR(__xludf.DUMMYFUNCTION("""COMPUTED_VALUE"""),121.6)</f>
        <v>121.6</v>
      </c>
      <c r="C1675" s="1">
        <f>IFERROR(__xludf.DUMMYFUNCTION("""COMPUTED_VALUE"""),122.27)</f>
        <v>122.27</v>
      </c>
      <c r="D1675" s="1">
        <f>IFERROR(__xludf.DUMMYFUNCTION("""COMPUTED_VALUE"""),121.07)</f>
        <v>121.07</v>
      </c>
      <c r="E1675" s="1">
        <f>IFERROR(__xludf.DUMMYFUNCTION("""COMPUTED_VALUE"""),121.9)</f>
        <v>121.9</v>
      </c>
      <c r="F1675" s="1">
        <f>IFERROR(__xludf.DUMMYFUNCTION("""COMPUTED_VALUE"""),39046.0)</f>
        <v>39046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IFERROR(__xludf.DUMMYFUNCTION("""COMPUTED_VALUE"""),122.02)</f>
        <v>122.02</v>
      </c>
      <c r="C1676" s="1">
        <f>IFERROR(__xludf.DUMMYFUNCTION("""COMPUTED_VALUE"""),123.37)</f>
        <v>123.37</v>
      </c>
      <c r="D1676" s="1">
        <f>IFERROR(__xludf.DUMMYFUNCTION("""COMPUTED_VALUE"""),121.17)</f>
        <v>121.17</v>
      </c>
      <c r="E1676" s="1">
        <f>IFERROR(__xludf.DUMMYFUNCTION("""COMPUTED_VALUE"""),121.92)</f>
        <v>121.92</v>
      </c>
      <c r="F1676" s="1">
        <f>IFERROR(__xludf.DUMMYFUNCTION("""COMPUTED_VALUE"""),25690.0)</f>
        <v>25690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IFERROR(__xludf.DUMMYFUNCTION("""COMPUTED_VALUE"""),122.14)</f>
        <v>122.14</v>
      </c>
      <c r="C1677" s="1">
        <f>IFERROR(__xludf.DUMMYFUNCTION("""COMPUTED_VALUE"""),123.05)</f>
        <v>123.05</v>
      </c>
      <c r="D1677" s="1">
        <f>IFERROR(__xludf.DUMMYFUNCTION("""COMPUTED_VALUE"""),121.69)</f>
        <v>121.69</v>
      </c>
      <c r="E1677" s="1">
        <f>IFERROR(__xludf.DUMMYFUNCTION("""COMPUTED_VALUE"""),122.0)</f>
        <v>122</v>
      </c>
      <c r="F1677" s="1">
        <f>IFERROR(__xludf.DUMMYFUNCTION("""COMPUTED_VALUE"""),32681.0)</f>
        <v>32681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IFERROR(__xludf.DUMMYFUNCTION("""COMPUTED_VALUE"""),121.81)</f>
        <v>121.81</v>
      </c>
      <c r="C1678" s="1">
        <f>IFERROR(__xludf.DUMMYFUNCTION("""COMPUTED_VALUE"""),122.7)</f>
        <v>122.7</v>
      </c>
      <c r="D1678" s="1">
        <f>IFERROR(__xludf.DUMMYFUNCTION("""COMPUTED_VALUE"""),121.69)</f>
        <v>121.69</v>
      </c>
      <c r="E1678" s="1">
        <f>IFERROR(__xludf.DUMMYFUNCTION("""COMPUTED_VALUE"""),122.58)</f>
        <v>122.58</v>
      </c>
      <c r="F1678" s="1">
        <f>IFERROR(__xludf.DUMMYFUNCTION("""COMPUTED_VALUE"""),45708.0)</f>
        <v>45708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IFERROR(__xludf.DUMMYFUNCTION("""COMPUTED_VALUE"""),122.41)</f>
        <v>122.41</v>
      </c>
      <c r="C1679" s="1">
        <f>IFERROR(__xludf.DUMMYFUNCTION("""COMPUTED_VALUE"""),122.99)</f>
        <v>122.99</v>
      </c>
      <c r="D1679" s="1">
        <f>IFERROR(__xludf.DUMMYFUNCTION("""COMPUTED_VALUE"""),121.93)</f>
        <v>121.93</v>
      </c>
      <c r="E1679" s="1">
        <f>IFERROR(__xludf.DUMMYFUNCTION("""COMPUTED_VALUE"""),122.0)</f>
        <v>122</v>
      </c>
      <c r="F1679" s="1">
        <f>IFERROR(__xludf.DUMMYFUNCTION("""COMPUTED_VALUE"""),58536.0)</f>
        <v>58536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IFERROR(__xludf.DUMMYFUNCTION("""COMPUTED_VALUE"""),122.53)</f>
        <v>122.53</v>
      </c>
      <c r="C1680" s="1">
        <f>IFERROR(__xludf.DUMMYFUNCTION("""COMPUTED_VALUE"""),122.53)</f>
        <v>122.53</v>
      </c>
      <c r="D1680" s="1">
        <f>IFERROR(__xludf.DUMMYFUNCTION("""COMPUTED_VALUE"""),120.72)</f>
        <v>120.72</v>
      </c>
      <c r="E1680" s="1">
        <f>IFERROR(__xludf.DUMMYFUNCTION("""COMPUTED_VALUE"""),122.06)</f>
        <v>122.06</v>
      </c>
      <c r="F1680" s="1">
        <f>IFERROR(__xludf.DUMMYFUNCTION("""COMPUTED_VALUE"""),43737.0)</f>
        <v>43737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IFERROR(__xludf.DUMMYFUNCTION("""COMPUTED_VALUE"""),122.14)</f>
        <v>122.14</v>
      </c>
      <c r="C1681" s="1">
        <f>IFERROR(__xludf.DUMMYFUNCTION("""COMPUTED_VALUE"""),124.5)</f>
        <v>124.5</v>
      </c>
      <c r="D1681" s="1">
        <f>IFERROR(__xludf.DUMMYFUNCTION("""COMPUTED_VALUE"""),121.06)</f>
        <v>121.06</v>
      </c>
      <c r="E1681" s="1">
        <f>IFERROR(__xludf.DUMMYFUNCTION("""COMPUTED_VALUE"""),123.77)</f>
        <v>123.77</v>
      </c>
      <c r="F1681" s="1">
        <f>IFERROR(__xludf.DUMMYFUNCTION("""COMPUTED_VALUE"""),52481.0)</f>
        <v>52481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IFERROR(__xludf.DUMMYFUNCTION("""COMPUTED_VALUE"""),124.25)</f>
        <v>124.25</v>
      </c>
      <c r="C1682" s="1">
        <f>IFERROR(__xludf.DUMMYFUNCTION("""COMPUTED_VALUE"""),125.18)</f>
        <v>125.18</v>
      </c>
      <c r="D1682" s="1">
        <f>IFERROR(__xludf.DUMMYFUNCTION("""COMPUTED_VALUE"""),123.1)</f>
        <v>123.1</v>
      </c>
      <c r="E1682" s="1">
        <f>IFERROR(__xludf.DUMMYFUNCTION("""COMPUTED_VALUE"""),124.03)</f>
        <v>124.03</v>
      </c>
      <c r="F1682" s="1">
        <f>IFERROR(__xludf.DUMMYFUNCTION("""COMPUTED_VALUE"""),38811.0)</f>
        <v>38811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IFERROR(__xludf.DUMMYFUNCTION("""COMPUTED_VALUE"""),123.85)</f>
        <v>123.85</v>
      </c>
      <c r="C1683" s="1">
        <f>IFERROR(__xludf.DUMMYFUNCTION("""COMPUTED_VALUE"""),124.03)</f>
        <v>124.03</v>
      </c>
      <c r="D1683" s="1">
        <f>IFERROR(__xludf.DUMMYFUNCTION("""COMPUTED_VALUE"""),123.04)</f>
        <v>123.04</v>
      </c>
      <c r="E1683" s="1">
        <f>IFERROR(__xludf.DUMMYFUNCTION("""COMPUTED_VALUE"""),123.9)</f>
        <v>123.9</v>
      </c>
      <c r="F1683" s="1">
        <f>IFERROR(__xludf.DUMMYFUNCTION("""COMPUTED_VALUE"""),131148.0)</f>
        <v>131148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IFERROR(__xludf.DUMMYFUNCTION("""COMPUTED_VALUE"""),123.7)</f>
        <v>123.7</v>
      </c>
      <c r="C1684" s="1">
        <f>IFERROR(__xludf.DUMMYFUNCTION("""COMPUTED_VALUE"""),125.14)</f>
        <v>125.14</v>
      </c>
      <c r="D1684" s="1">
        <f>IFERROR(__xludf.DUMMYFUNCTION("""COMPUTED_VALUE"""),121.69)</f>
        <v>121.69</v>
      </c>
      <c r="E1684" s="1">
        <f>IFERROR(__xludf.DUMMYFUNCTION("""COMPUTED_VALUE"""),122.38)</f>
        <v>122.38</v>
      </c>
      <c r="F1684" s="1">
        <f>IFERROR(__xludf.DUMMYFUNCTION("""COMPUTED_VALUE"""),79073.0)</f>
        <v>79073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IFERROR(__xludf.DUMMYFUNCTION("""COMPUTED_VALUE"""),120.78)</f>
        <v>120.78</v>
      </c>
      <c r="C1685" s="1">
        <f>IFERROR(__xludf.DUMMYFUNCTION("""COMPUTED_VALUE"""),121.52)</f>
        <v>121.52</v>
      </c>
      <c r="D1685" s="1">
        <f>IFERROR(__xludf.DUMMYFUNCTION("""COMPUTED_VALUE"""),117.76)</f>
        <v>117.76</v>
      </c>
      <c r="E1685" s="1">
        <f>IFERROR(__xludf.DUMMYFUNCTION("""COMPUTED_VALUE"""),117.76)</f>
        <v>117.76</v>
      </c>
      <c r="F1685" s="1">
        <f>IFERROR(__xludf.DUMMYFUNCTION("""COMPUTED_VALUE"""),50893.0)</f>
        <v>50893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IFERROR(__xludf.DUMMYFUNCTION("""COMPUTED_VALUE"""),118.14)</f>
        <v>118.14</v>
      </c>
      <c r="C1686" s="1">
        <f>IFERROR(__xludf.DUMMYFUNCTION("""COMPUTED_VALUE"""),121.07)</f>
        <v>121.07</v>
      </c>
      <c r="D1686" s="1">
        <f>IFERROR(__xludf.DUMMYFUNCTION("""COMPUTED_VALUE"""),118.14)</f>
        <v>118.14</v>
      </c>
      <c r="E1686" s="1">
        <f>IFERROR(__xludf.DUMMYFUNCTION("""COMPUTED_VALUE"""),121.01)</f>
        <v>121.01</v>
      </c>
      <c r="F1686" s="1">
        <f>IFERROR(__xludf.DUMMYFUNCTION("""COMPUTED_VALUE"""),52837.0)</f>
        <v>52837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IFERROR(__xludf.DUMMYFUNCTION("""COMPUTED_VALUE"""),119.64)</f>
        <v>119.64</v>
      </c>
      <c r="C1687" s="1">
        <f>IFERROR(__xludf.DUMMYFUNCTION("""COMPUTED_VALUE"""),121.0)</f>
        <v>121</v>
      </c>
      <c r="D1687" s="1">
        <f>IFERROR(__xludf.DUMMYFUNCTION("""COMPUTED_VALUE"""),118.65)</f>
        <v>118.65</v>
      </c>
      <c r="E1687" s="1">
        <f>IFERROR(__xludf.DUMMYFUNCTION("""COMPUTED_VALUE"""),119.54)</f>
        <v>119.54</v>
      </c>
      <c r="F1687" s="1">
        <f>IFERROR(__xludf.DUMMYFUNCTION("""COMPUTED_VALUE"""),57855.0)</f>
        <v>57855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IFERROR(__xludf.DUMMYFUNCTION("""COMPUTED_VALUE"""),119.5)</f>
        <v>119.5</v>
      </c>
      <c r="C1688" s="1">
        <f>IFERROR(__xludf.DUMMYFUNCTION("""COMPUTED_VALUE"""),119.98)</f>
        <v>119.98</v>
      </c>
      <c r="D1688" s="1">
        <f>IFERROR(__xludf.DUMMYFUNCTION("""COMPUTED_VALUE"""),118.61)</f>
        <v>118.61</v>
      </c>
      <c r="E1688" s="1">
        <f>IFERROR(__xludf.DUMMYFUNCTION("""COMPUTED_VALUE"""),118.73)</f>
        <v>118.73</v>
      </c>
      <c r="F1688" s="1">
        <f>IFERROR(__xludf.DUMMYFUNCTION("""COMPUTED_VALUE"""),25690.0)</f>
        <v>25690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IFERROR(__xludf.DUMMYFUNCTION("""COMPUTED_VALUE"""),118.78)</f>
        <v>118.78</v>
      </c>
      <c r="C1689" s="1">
        <f>IFERROR(__xludf.DUMMYFUNCTION("""COMPUTED_VALUE"""),119.74)</f>
        <v>119.74</v>
      </c>
      <c r="D1689" s="1">
        <f>IFERROR(__xludf.DUMMYFUNCTION("""COMPUTED_VALUE"""),117.91)</f>
        <v>117.91</v>
      </c>
      <c r="E1689" s="1">
        <f>IFERROR(__xludf.DUMMYFUNCTION("""COMPUTED_VALUE"""),118.82)</f>
        <v>118.82</v>
      </c>
      <c r="F1689" s="1">
        <f>IFERROR(__xludf.DUMMYFUNCTION("""COMPUTED_VALUE"""),44205.0)</f>
        <v>44205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IFERROR(__xludf.DUMMYFUNCTION("""COMPUTED_VALUE"""),119.28)</f>
        <v>119.28</v>
      </c>
      <c r="C1690" s="1">
        <f>IFERROR(__xludf.DUMMYFUNCTION("""COMPUTED_VALUE"""),119.98)</f>
        <v>119.98</v>
      </c>
      <c r="D1690" s="1">
        <f>IFERROR(__xludf.DUMMYFUNCTION("""COMPUTED_VALUE"""),118.8)</f>
        <v>118.8</v>
      </c>
      <c r="E1690" s="1">
        <f>IFERROR(__xludf.DUMMYFUNCTION("""COMPUTED_VALUE"""),119.43)</f>
        <v>119.43</v>
      </c>
      <c r="F1690" s="1">
        <f>IFERROR(__xludf.DUMMYFUNCTION("""COMPUTED_VALUE"""),155413.0)</f>
        <v>155413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IFERROR(__xludf.DUMMYFUNCTION("""COMPUTED_VALUE"""),119.39)</f>
        <v>119.39</v>
      </c>
      <c r="C1691" s="1">
        <f>IFERROR(__xludf.DUMMYFUNCTION("""COMPUTED_VALUE"""),119.94)</f>
        <v>119.94</v>
      </c>
      <c r="D1691" s="1">
        <f>IFERROR(__xludf.DUMMYFUNCTION("""COMPUTED_VALUE"""),118.7)</f>
        <v>118.7</v>
      </c>
      <c r="E1691" s="1">
        <f>IFERROR(__xludf.DUMMYFUNCTION("""COMPUTED_VALUE"""),118.99)</f>
        <v>118.99</v>
      </c>
      <c r="F1691" s="1">
        <f>IFERROR(__xludf.DUMMYFUNCTION("""COMPUTED_VALUE"""),41955.0)</f>
        <v>41955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IFERROR(__xludf.DUMMYFUNCTION("""COMPUTED_VALUE"""),119.56)</f>
        <v>119.56</v>
      </c>
      <c r="C1692" s="1">
        <f>IFERROR(__xludf.DUMMYFUNCTION("""COMPUTED_VALUE"""),119.56)</f>
        <v>119.56</v>
      </c>
      <c r="D1692" s="1">
        <f>IFERROR(__xludf.DUMMYFUNCTION("""COMPUTED_VALUE"""),117.09)</f>
        <v>117.09</v>
      </c>
      <c r="E1692" s="1">
        <f>IFERROR(__xludf.DUMMYFUNCTION("""COMPUTED_VALUE"""),118.46)</f>
        <v>118.46</v>
      </c>
      <c r="F1692" s="1">
        <f>IFERROR(__xludf.DUMMYFUNCTION("""COMPUTED_VALUE"""),51411.0)</f>
        <v>51411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IFERROR(__xludf.DUMMYFUNCTION("""COMPUTED_VALUE"""),118.9)</f>
        <v>118.9</v>
      </c>
      <c r="C1693" s="1">
        <f>IFERROR(__xludf.DUMMYFUNCTION("""COMPUTED_VALUE"""),119.84)</f>
        <v>119.84</v>
      </c>
      <c r="D1693" s="1">
        <f>IFERROR(__xludf.DUMMYFUNCTION("""COMPUTED_VALUE"""),118.51)</f>
        <v>118.51</v>
      </c>
      <c r="E1693" s="1">
        <f>IFERROR(__xludf.DUMMYFUNCTION("""COMPUTED_VALUE"""),119.52)</f>
        <v>119.52</v>
      </c>
      <c r="F1693" s="1">
        <f>IFERROR(__xludf.DUMMYFUNCTION("""COMPUTED_VALUE"""),85417.0)</f>
        <v>85417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IFERROR(__xludf.DUMMYFUNCTION("""COMPUTED_VALUE"""),119.83)</f>
        <v>119.83</v>
      </c>
      <c r="C1694" s="1">
        <f>IFERROR(__xludf.DUMMYFUNCTION("""COMPUTED_VALUE"""),121.24)</f>
        <v>121.24</v>
      </c>
      <c r="D1694" s="1">
        <f>IFERROR(__xludf.DUMMYFUNCTION("""COMPUTED_VALUE"""),119.18)</f>
        <v>119.18</v>
      </c>
      <c r="E1694" s="1">
        <f>IFERROR(__xludf.DUMMYFUNCTION("""COMPUTED_VALUE"""),120.54)</f>
        <v>120.54</v>
      </c>
      <c r="F1694" s="1">
        <f>IFERROR(__xludf.DUMMYFUNCTION("""COMPUTED_VALUE"""),119568.0)</f>
        <v>119568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IFERROR(__xludf.DUMMYFUNCTION("""COMPUTED_VALUE"""),120.4)</f>
        <v>120.4</v>
      </c>
      <c r="C1695" s="1">
        <f>IFERROR(__xludf.DUMMYFUNCTION("""COMPUTED_VALUE"""),120.4)</f>
        <v>120.4</v>
      </c>
      <c r="D1695" s="1">
        <f>IFERROR(__xludf.DUMMYFUNCTION("""COMPUTED_VALUE"""),119.01)</f>
        <v>119.01</v>
      </c>
      <c r="E1695" s="1">
        <f>IFERROR(__xludf.DUMMYFUNCTION("""COMPUTED_VALUE"""),119.44)</f>
        <v>119.44</v>
      </c>
      <c r="F1695" s="1">
        <f>IFERROR(__xludf.DUMMYFUNCTION("""COMPUTED_VALUE"""),68738.0)</f>
        <v>68738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IFERROR(__xludf.DUMMYFUNCTION("""COMPUTED_VALUE"""),118.71)</f>
        <v>118.71</v>
      </c>
      <c r="C1696" s="1">
        <f>IFERROR(__xludf.DUMMYFUNCTION("""COMPUTED_VALUE"""),119.72)</f>
        <v>119.72</v>
      </c>
      <c r="D1696" s="1">
        <f>IFERROR(__xludf.DUMMYFUNCTION("""COMPUTED_VALUE"""),118.11)</f>
        <v>118.11</v>
      </c>
      <c r="E1696" s="1">
        <f>IFERROR(__xludf.DUMMYFUNCTION("""COMPUTED_VALUE"""),118.31)</f>
        <v>118.31</v>
      </c>
      <c r="F1696" s="1">
        <f>IFERROR(__xludf.DUMMYFUNCTION("""COMPUTED_VALUE"""),66217.0)</f>
        <v>66217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IFERROR(__xludf.DUMMYFUNCTION("""COMPUTED_VALUE"""),117.45)</f>
        <v>117.45</v>
      </c>
      <c r="C1697" s="1">
        <f>IFERROR(__xludf.DUMMYFUNCTION("""COMPUTED_VALUE"""),118.93)</f>
        <v>118.93</v>
      </c>
      <c r="D1697" s="1">
        <f>IFERROR(__xludf.DUMMYFUNCTION("""COMPUTED_VALUE"""),116.81)</f>
        <v>116.81</v>
      </c>
      <c r="E1697" s="1">
        <f>IFERROR(__xludf.DUMMYFUNCTION("""COMPUTED_VALUE"""),117.88)</f>
        <v>117.88</v>
      </c>
      <c r="F1697" s="1">
        <f>IFERROR(__xludf.DUMMYFUNCTION("""COMPUTED_VALUE"""),73376.0)</f>
        <v>73376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IFERROR(__xludf.DUMMYFUNCTION("""COMPUTED_VALUE"""),117.29)</f>
        <v>117.29</v>
      </c>
      <c r="C1698" s="1">
        <f>IFERROR(__xludf.DUMMYFUNCTION("""COMPUTED_VALUE"""),119.71)</f>
        <v>119.71</v>
      </c>
      <c r="D1698" s="1">
        <f>IFERROR(__xludf.DUMMYFUNCTION("""COMPUTED_VALUE"""),117.29)</f>
        <v>117.29</v>
      </c>
      <c r="E1698" s="1">
        <f>IFERROR(__xludf.DUMMYFUNCTION("""COMPUTED_VALUE"""),119.67)</f>
        <v>119.67</v>
      </c>
      <c r="F1698" s="1">
        <f>IFERROR(__xludf.DUMMYFUNCTION("""COMPUTED_VALUE"""),80078.0)</f>
        <v>80078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IFERROR(__xludf.DUMMYFUNCTION("""COMPUTED_VALUE"""),118.66)</f>
        <v>118.66</v>
      </c>
      <c r="C1699" s="1">
        <f>IFERROR(__xludf.DUMMYFUNCTION("""COMPUTED_VALUE"""),119.21)</f>
        <v>119.21</v>
      </c>
      <c r="D1699" s="1">
        <f>IFERROR(__xludf.DUMMYFUNCTION("""COMPUTED_VALUE"""),117.63)</f>
        <v>117.63</v>
      </c>
      <c r="E1699" s="1">
        <f>IFERROR(__xludf.DUMMYFUNCTION("""COMPUTED_VALUE"""),118.11)</f>
        <v>118.11</v>
      </c>
      <c r="F1699" s="1">
        <f>IFERROR(__xludf.DUMMYFUNCTION("""COMPUTED_VALUE"""),62884.0)</f>
        <v>62884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IFERROR(__xludf.DUMMYFUNCTION("""COMPUTED_VALUE"""),118.73)</f>
        <v>118.73</v>
      </c>
      <c r="C1700" s="1">
        <f>IFERROR(__xludf.DUMMYFUNCTION("""COMPUTED_VALUE"""),119.75)</f>
        <v>119.75</v>
      </c>
      <c r="D1700" s="1">
        <f>IFERROR(__xludf.DUMMYFUNCTION("""COMPUTED_VALUE"""),118.01)</f>
        <v>118.01</v>
      </c>
      <c r="E1700" s="1">
        <f>IFERROR(__xludf.DUMMYFUNCTION("""COMPUTED_VALUE"""),119.12)</f>
        <v>119.12</v>
      </c>
      <c r="F1700" s="1">
        <f>IFERROR(__xludf.DUMMYFUNCTION("""COMPUTED_VALUE"""),68466.0)</f>
        <v>68466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IFERROR(__xludf.DUMMYFUNCTION("""COMPUTED_VALUE"""),119.03)</f>
        <v>119.03</v>
      </c>
      <c r="C1701" s="1">
        <f>IFERROR(__xludf.DUMMYFUNCTION("""COMPUTED_VALUE"""),119.63)</f>
        <v>119.63</v>
      </c>
      <c r="D1701" s="1">
        <f>IFERROR(__xludf.DUMMYFUNCTION("""COMPUTED_VALUE"""),117.96)</f>
        <v>117.96</v>
      </c>
      <c r="E1701" s="1">
        <f>IFERROR(__xludf.DUMMYFUNCTION("""COMPUTED_VALUE"""),118.7)</f>
        <v>118.7</v>
      </c>
      <c r="F1701" s="1">
        <f>IFERROR(__xludf.DUMMYFUNCTION("""COMPUTED_VALUE"""),47994.0)</f>
        <v>47994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IFERROR(__xludf.DUMMYFUNCTION("""COMPUTED_VALUE"""),118.5)</f>
        <v>118.5</v>
      </c>
      <c r="C1702" s="1">
        <f>IFERROR(__xludf.DUMMYFUNCTION("""COMPUTED_VALUE"""),119.19)</f>
        <v>119.19</v>
      </c>
      <c r="D1702" s="1">
        <f>IFERROR(__xludf.DUMMYFUNCTION("""COMPUTED_VALUE"""),115.58)</f>
        <v>115.58</v>
      </c>
      <c r="E1702" s="1">
        <f>IFERROR(__xludf.DUMMYFUNCTION("""COMPUTED_VALUE"""),115.93)</f>
        <v>115.93</v>
      </c>
      <c r="F1702" s="1">
        <f>IFERROR(__xludf.DUMMYFUNCTION("""COMPUTED_VALUE"""),79939.0)</f>
        <v>79939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IFERROR(__xludf.DUMMYFUNCTION("""COMPUTED_VALUE"""),117.98)</f>
        <v>117.98</v>
      </c>
      <c r="C1703" s="1">
        <f>IFERROR(__xludf.DUMMYFUNCTION("""COMPUTED_VALUE"""),121.02)</f>
        <v>121.02</v>
      </c>
      <c r="D1703" s="1">
        <f>IFERROR(__xludf.DUMMYFUNCTION("""COMPUTED_VALUE"""),116.95)</f>
        <v>116.95</v>
      </c>
      <c r="E1703" s="1">
        <f>IFERROR(__xludf.DUMMYFUNCTION("""COMPUTED_VALUE"""),119.78)</f>
        <v>119.78</v>
      </c>
      <c r="F1703" s="1">
        <f>IFERROR(__xludf.DUMMYFUNCTION("""COMPUTED_VALUE"""),163211.0)</f>
        <v>163211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IFERROR(__xludf.DUMMYFUNCTION("""COMPUTED_VALUE"""),119.46)</f>
        <v>119.46</v>
      </c>
      <c r="C1704" s="1">
        <f>IFERROR(__xludf.DUMMYFUNCTION("""COMPUTED_VALUE"""),120.99)</f>
        <v>120.99</v>
      </c>
      <c r="D1704" s="1">
        <f>IFERROR(__xludf.DUMMYFUNCTION("""COMPUTED_VALUE"""),119.4)</f>
        <v>119.4</v>
      </c>
      <c r="E1704" s="1">
        <f>IFERROR(__xludf.DUMMYFUNCTION("""COMPUTED_VALUE"""),119.47)</f>
        <v>119.47</v>
      </c>
      <c r="F1704" s="1">
        <f>IFERROR(__xludf.DUMMYFUNCTION("""COMPUTED_VALUE"""),54388.0)</f>
        <v>54388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IFERROR(__xludf.DUMMYFUNCTION("""COMPUTED_VALUE"""),119.9)</f>
        <v>119.9</v>
      </c>
      <c r="C1705" s="1">
        <f>IFERROR(__xludf.DUMMYFUNCTION("""COMPUTED_VALUE"""),119.9)</f>
        <v>119.9</v>
      </c>
      <c r="D1705" s="1">
        <f>IFERROR(__xludf.DUMMYFUNCTION("""COMPUTED_VALUE"""),117.28)</f>
        <v>117.28</v>
      </c>
      <c r="E1705" s="1">
        <f>IFERROR(__xludf.DUMMYFUNCTION("""COMPUTED_VALUE"""),118.01)</f>
        <v>118.01</v>
      </c>
      <c r="F1705" s="1">
        <f>IFERROR(__xludf.DUMMYFUNCTION("""COMPUTED_VALUE"""),92769.0)</f>
        <v>92769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IFERROR(__xludf.DUMMYFUNCTION("""COMPUTED_VALUE"""),118.02)</f>
        <v>118.02</v>
      </c>
      <c r="C1706" s="1">
        <f>IFERROR(__xludf.DUMMYFUNCTION("""COMPUTED_VALUE"""),119.23)</f>
        <v>119.23</v>
      </c>
      <c r="D1706" s="1">
        <f>IFERROR(__xludf.DUMMYFUNCTION("""COMPUTED_VALUE"""),118.02)</f>
        <v>118.02</v>
      </c>
      <c r="E1706" s="1">
        <f>IFERROR(__xludf.DUMMYFUNCTION("""COMPUTED_VALUE"""),118.78)</f>
        <v>118.78</v>
      </c>
      <c r="F1706" s="1">
        <f>IFERROR(__xludf.DUMMYFUNCTION("""COMPUTED_VALUE"""),83734.0)</f>
        <v>83734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IFERROR(__xludf.DUMMYFUNCTION("""COMPUTED_VALUE"""),118.31)</f>
        <v>118.31</v>
      </c>
      <c r="C1707" s="1">
        <f>IFERROR(__xludf.DUMMYFUNCTION("""COMPUTED_VALUE"""),119.26)</f>
        <v>119.26</v>
      </c>
      <c r="D1707" s="1">
        <f>IFERROR(__xludf.DUMMYFUNCTION("""COMPUTED_VALUE"""),117.87)</f>
        <v>117.87</v>
      </c>
      <c r="E1707" s="1">
        <f>IFERROR(__xludf.DUMMYFUNCTION("""COMPUTED_VALUE"""),119.22)</f>
        <v>119.22</v>
      </c>
      <c r="F1707" s="1">
        <f>IFERROR(__xludf.DUMMYFUNCTION("""COMPUTED_VALUE"""),93010.0)</f>
        <v>93010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IFERROR(__xludf.DUMMYFUNCTION("""COMPUTED_VALUE"""),118.77)</f>
        <v>118.77</v>
      </c>
      <c r="C1708" s="1">
        <f>IFERROR(__xludf.DUMMYFUNCTION("""COMPUTED_VALUE"""),119.96)</f>
        <v>119.96</v>
      </c>
      <c r="D1708" s="1">
        <f>IFERROR(__xludf.DUMMYFUNCTION("""COMPUTED_VALUE"""),118.16)</f>
        <v>118.16</v>
      </c>
      <c r="E1708" s="1">
        <f>IFERROR(__xludf.DUMMYFUNCTION("""COMPUTED_VALUE"""),119.67)</f>
        <v>119.67</v>
      </c>
      <c r="F1708" s="1">
        <f>IFERROR(__xludf.DUMMYFUNCTION("""COMPUTED_VALUE"""),55130.0)</f>
        <v>55130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IFERROR(__xludf.DUMMYFUNCTION("""COMPUTED_VALUE"""),119.19)</f>
        <v>119.19</v>
      </c>
      <c r="C1709" s="1">
        <f>IFERROR(__xludf.DUMMYFUNCTION("""COMPUTED_VALUE"""),120.67)</f>
        <v>120.67</v>
      </c>
      <c r="D1709" s="1">
        <f>IFERROR(__xludf.DUMMYFUNCTION("""COMPUTED_VALUE"""),118.66)</f>
        <v>118.66</v>
      </c>
      <c r="E1709" s="1">
        <f>IFERROR(__xludf.DUMMYFUNCTION("""COMPUTED_VALUE"""),120.19)</f>
        <v>120.19</v>
      </c>
      <c r="F1709" s="1">
        <f>IFERROR(__xludf.DUMMYFUNCTION("""COMPUTED_VALUE"""),56704.0)</f>
        <v>56704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IFERROR(__xludf.DUMMYFUNCTION("""COMPUTED_VALUE"""),120.06)</f>
        <v>120.06</v>
      </c>
      <c r="C1710" s="1">
        <f>IFERROR(__xludf.DUMMYFUNCTION("""COMPUTED_VALUE"""),120.58)</f>
        <v>120.58</v>
      </c>
      <c r="D1710" s="1">
        <f>IFERROR(__xludf.DUMMYFUNCTION("""COMPUTED_VALUE"""),119.44)</f>
        <v>119.44</v>
      </c>
      <c r="E1710" s="1">
        <f>IFERROR(__xludf.DUMMYFUNCTION("""COMPUTED_VALUE"""),119.83)</f>
        <v>119.83</v>
      </c>
      <c r="F1710" s="1">
        <f>IFERROR(__xludf.DUMMYFUNCTION("""COMPUTED_VALUE"""),40181.0)</f>
        <v>40181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IFERROR(__xludf.DUMMYFUNCTION("""COMPUTED_VALUE"""),119.8)</f>
        <v>119.8</v>
      </c>
      <c r="C1711" s="1">
        <f>IFERROR(__xludf.DUMMYFUNCTION("""COMPUTED_VALUE"""),120.32)</f>
        <v>120.32</v>
      </c>
      <c r="D1711" s="1">
        <f>IFERROR(__xludf.DUMMYFUNCTION("""COMPUTED_VALUE"""),119.23)</f>
        <v>119.23</v>
      </c>
      <c r="E1711" s="1">
        <f>IFERROR(__xludf.DUMMYFUNCTION("""COMPUTED_VALUE"""),120.17)</f>
        <v>120.17</v>
      </c>
      <c r="F1711" s="1">
        <f>IFERROR(__xludf.DUMMYFUNCTION("""COMPUTED_VALUE"""),58691.0)</f>
        <v>58691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IFERROR(__xludf.DUMMYFUNCTION("""COMPUTED_VALUE"""),120.76)</f>
        <v>120.76</v>
      </c>
      <c r="C1712" s="1">
        <f>IFERROR(__xludf.DUMMYFUNCTION("""COMPUTED_VALUE"""),121.32)</f>
        <v>121.32</v>
      </c>
      <c r="D1712" s="1">
        <f>IFERROR(__xludf.DUMMYFUNCTION("""COMPUTED_VALUE"""),119.37)</f>
        <v>119.37</v>
      </c>
      <c r="E1712" s="1">
        <f>IFERROR(__xludf.DUMMYFUNCTION("""COMPUTED_VALUE"""),119.63)</f>
        <v>119.63</v>
      </c>
      <c r="F1712" s="1">
        <f>IFERROR(__xludf.DUMMYFUNCTION("""COMPUTED_VALUE"""),46523.0)</f>
        <v>46523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IFERROR(__xludf.DUMMYFUNCTION("""COMPUTED_VALUE"""),120.18)</f>
        <v>120.18</v>
      </c>
      <c r="C1713" s="1">
        <f>IFERROR(__xludf.DUMMYFUNCTION("""COMPUTED_VALUE"""),120.23)</f>
        <v>120.23</v>
      </c>
      <c r="D1713" s="1">
        <f>IFERROR(__xludf.DUMMYFUNCTION("""COMPUTED_VALUE"""),118.7)</f>
        <v>118.7</v>
      </c>
      <c r="E1713" s="1">
        <f>IFERROR(__xludf.DUMMYFUNCTION("""COMPUTED_VALUE"""),119.65)</f>
        <v>119.65</v>
      </c>
      <c r="F1713" s="1">
        <f>IFERROR(__xludf.DUMMYFUNCTION("""COMPUTED_VALUE"""),63199.0)</f>
        <v>63199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IFERROR(__xludf.DUMMYFUNCTION("""COMPUTED_VALUE"""),119.36)</f>
        <v>119.36</v>
      </c>
      <c r="C1714" s="1">
        <f>IFERROR(__xludf.DUMMYFUNCTION("""COMPUTED_VALUE"""),119.36)</f>
        <v>119.36</v>
      </c>
      <c r="D1714" s="1">
        <f>IFERROR(__xludf.DUMMYFUNCTION("""COMPUTED_VALUE"""),116.72)</f>
        <v>116.72</v>
      </c>
      <c r="E1714" s="1">
        <f>IFERROR(__xludf.DUMMYFUNCTION("""COMPUTED_VALUE"""),117.48)</f>
        <v>117.48</v>
      </c>
      <c r="F1714" s="1">
        <f>IFERROR(__xludf.DUMMYFUNCTION("""COMPUTED_VALUE"""),57539.0)</f>
        <v>57539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IFERROR(__xludf.DUMMYFUNCTION("""COMPUTED_VALUE"""),117.44)</f>
        <v>117.44</v>
      </c>
      <c r="C1715" s="1">
        <f>IFERROR(__xludf.DUMMYFUNCTION("""COMPUTED_VALUE"""),118.35)</f>
        <v>118.35</v>
      </c>
      <c r="D1715" s="1">
        <f>IFERROR(__xludf.DUMMYFUNCTION("""COMPUTED_VALUE"""),116.12)</f>
        <v>116.12</v>
      </c>
      <c r="E1715" s="1">
        <f>IFERROR(__xludf.DUMMYFUNCTION("""COMPUTED_VALUE"""),118.19)</f>
        <v>118.19</v>
      </c>
      <c r="F1715" s="1">
        <f>IFERROR(__xludf.DUMMYFUNCTION("""COMPUTED_VALUE"""),46046.0)</f>
        <v>46046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IFERROR(__xludf.DUMMYFUNCTION("""COMPUTED_VALUE"""),119.0)</f>
        <v>119</v>
      </c>
      <c r="C1716" s="1">
        <f>IFERROR(__xludf.DUMMYFUNCTION("""COMPUTED_VALUE"""),119.63)</f>
        <v>119.63</v>
      </c>
      <c r="D1716" s="1">
        <f>IFERROR(__xludf.DUMMYFUNCTION("""COMPUTED_VALUE"""),118.52)</f>
        <v>118.52</v>
      </c>
      <c r="E1716" s="1">
        <f>IFERROR(__xludf.DUMMYFUNCTION("""COMPUTED_VALUE"""),119.13)</f>
        <v>119.13</v>
      </c>
      <c r="F1716" s="1">
        <f>IFERROR(__xludf.DUMMYFUNCTION("""COMPUTED_VALUE"""),28910.0)</f>
        <v>28910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IFERROR(__xludf.DUMMYFUNCTION("""COMPUTED_VALUE"""),119.18)</f>
        <v>119.18</v>
      </c>
      <c r="C1717" s="1">
        <f>IFERROR(__xludf.DUMMYFUNCTION("""COMPUTED_VALUE"""),120.82)</f>
        <v>120.82</v>
      </c>
      <c r="D1717" s="1">
        <f>IFERROR(__xludf.DUMMYFUNCTION("""COMPUTED_VALUE"""),119.1)</f>
        <v>119.1</v>
      </c>
      <c r="E1717" s="1">
        <f>IFERROR(__xludf.DUMMYFUNCTION("""COMPUTED_VALUE"""),120.75)</f>
        <v>120.75</v>
      </c>
      <c r="F1717" s="1">
        <f>IFERROR(__xludf.DUMMYFUNCTION("""COMPUTED_VALUE"""),38791.0)</f>
        <v>38791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IFERROR(__xludf.DUMMYFUNCTION("""COMPUTED_VALUE"""),120.5)</f>
        <v>120.5</v>
      </c>
      <c r="C1718" s="1">
        <f>IFERROR(__xludf.DUMMYFUNCTION("""COMPUTED_VALUE"""),120.68)</f>
        <v>120.68</v>
      </c>
      <c r="D1718" s="1">
        <f>IFERROR(__xludf.DUMMYFUNCTION("""COMPUTED_VALUE"""),119.61)</f>
        <v>119.61</v>
      </c>
      <c r="E1718" s="1">
        <f>IFERROR(__xludf.DUMMYFUNCTION("""COMPUTED_VALUE"""),120.27)</f>
        <v>120.27</v>
      </c>
      <c r="F1718" s="1">
        <f>IFERROR(__xludf.DUMMYFUNCTION("""COMPUTED_VALUE"""),29074.0)</f>
        <v>29074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IFERROR(__xludf.DUMMYFUNCTION("""COMPUTED_VALUE"""),120.16)</f>
        <v>120.16</v>
      </c>
      <c r="C1719" s="1">
        <f>IFERROR(__xludf.DUMMYFUNCTION("""COMPUTED_VALUE"""),120.16)</f>
        <v>120.16</v>
      </c>
      <c r="D1719" s="1">
        <f>IFERROR(__xludf.DUMMYFUNCTION("""COMPUTED_VALUE"""),118.81)</f>
        <v>118.81</v>
      </c>
      <c r="E1719" s="1">
        <f>IFERROR(__xludf.DUMMYFUNCTION("""COMPUTED_VALUE"""),119.18)</f>
        <v>119.18</v>
      </c>
      <c r="F1719" s="1">
        <f>IFERROR(__xludf.DUMMYFUNCTION("""COMPUTED_VALUE"""),33987.0)</f>
        <v>33987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IFERROR(__xludf.DUMMYFUNCTION("""COMPUTED_VALUE"""),120.01)</f>
        <v>120.01</v>
      </c>
      <c r="C1720" s="1">
        <f>IFERROR(__xludf.DUMMYFUNCTION("""COMPUTED_VALUE"""),121.26)</f>
        <v>121.26</v>
      </c>
      <c r="D1720" s="1">
        <f>IFERROR(__xludf.DUMMYFUNCTION("""COMPUTED_VALUE"""),118.82)</f>
        <v>118.82</v>
      </c>
      <c r="E1720" s="1">
        <f>IFERROR(__xludf.DUMMYFUNCTION("""COMPUTED_VALUE"""),120.95)</f>
        <v>120.95</v>
      </c>
      <c r="F1720" s="1">
        <f>IFERROR(__xludf.DUMMYFUNCTION("""COMPUTED_VALUE"""),42976.0)</f>
        <v>42976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IFERROR(__xludf.DUMMYFUNCTION("""COMPUTED_VALUE"""),120.85)</f>
        <v>120.85</v>
      </c>
      <c r="C1721" s="1">
        <f>IFERROR(__xludf.DUMMYFUNCTION("""COMPUTED_VALUE"""),122.29)</f>
        <v>122.29</v>
      </c>
      <c r="D1721" s="1">
        <f>IFERROR(__xludf.DUMMYFUNCTION("""COMPUTED_VALUE"""),120.11)</f>
        <v>120.11</v>
      </c>
      <c r="E1721" s="1">
        <f>IFERROR(__xludf.DUMMYFUNCTION("""COMPUTED_VALUE"""),122.15)</f>
        <v>122.15</v>
      </c>
      <c r="F1721" s="1">
        <f>IFERROR(__xludf.DUMMYFUNCTION("""COMPUTED_VALUE"""),86361.0)</f>
        <v>86361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IFERROR(__xludf.DUMMYFUNCTION("""COMPUTED_VALUE"""),121.97)</f>
        <v>121.97</v>
      </c>
      <c r="C1722" s="1">
        <f>IFERROR(__xludf.DUMMYFUNCTION("""COMPUTED_VALUE"""),122.49)</f>
        <v>122.49</v>
      </c>
      <c r="D1722" s="1">
        <f>IFERROR(__xludf.DUMMYFUNCTION("""COMPUTED_VALUE"""),119.76)</f>
        <v>119.76</v>
      </c>
      <c r="E1722" s="1">
        <f>IFERROR(__xludf.DUMMYFUNCTION("""COMPUTED_VALUE"""),120.05)</f>
        <v>120.05</v>
      </c>
      <c r="F1722" s="1">
        <f>IFERROR(__xludf.DUMMYFUNCTION("""COMPUTED_VALUE"""),62886.0)</f>
        <v>62886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IFERROR(__xludf.DUMMYFUNCTION("""COMPUTED_VALUE"""),119.76)</f>
        <v>119.76</v>
      </c>
      <c r="C1723" s="1">
        <f>IFERROR(__xludf.DUMMYFUNCTION("""COMPUTED_VALUE"""),120.95)</f>
        <v>120.95</v>
      </c>
      <c r="D1723" s="1">
        <f>IFERROR(__xludf.DUMMYFUNCTION("""COMPUTED_VALUE"""),117.77)</f>
        <v>117.77</v>
      </c>
      <c r="E1723" s="1">
        <f>IFERROR(__xludf.DUMMYFUNCTION("""COMPUTED_VALUE"""),118.02)</f>
        <v>118.02</v>
      </c>
      <c r="F1723" s="1">
        <f>IFERROR(__xludf.DUMMYFUNCTION("""COMPUTED_VALUE"""),66471.0)</f>
        <v>66471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IFERROR(__xludf.DUMMYFUNCTION("""COMPUTED_VALUE"""),117.76)</f>
        <v>117.76</v>
      </c>
      <c r="C1724" s="1">
        <f>IFERROR(__xludf.DUMMYFUNCTION("""COMPUTED_VALUE"""),119.21)</f>
        <v>119.21</v>
      </c>
      <c r="D1724" s="1">
        <f>IFERROR(__xludf.DUMMYFUNCTION("""COMPUTED_VALUE"""),115.62)</f>
        <v>115.62</v>
      </c>
      <c r="E1724" s="1">
        <f>IFERROR(__xludf.DUMMYFUNCTION("""COMPUTED_VALUE"""),116.5)</f>
        <v>116.5</v>
      </c>
      <c r="F1724" s="1">
        <f>IFERROR(__xludf.DUMMYFUNCTION("""COMPUTED_VALUE"""),96674.0)</f>
        <v>96674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IFERROR(__xludf.DUMMYFUNCTION("""COMPUTED_VALUE"""),114.89)</f>
        <v>114.89</v>
      </c>
      <c r="C1725" s="1">
        <f>IFERROR(__xludf.DUMMYFUNCTION("""COMPUTED_VALUE"""),117.13)</f>
        <v>117.13</v>
      </c>
      <c r="D1725" s="1">
        <f>IFERROR(__xludf.DUMMYFUNCTION("""COMPUTED_VALUE"""),102.81)</f>
        <v>102.81</v>
      </c>
      <c r="E1725" s="1">
        <f>IFERROR(__xludf.DUMMYFUNCTION("""COMPUTED_VALUE"""),113.99)</f>
        <v>113.99</v>
      </c>
      <c r="F1725" s="1">
        <f>IFERROR(__xludf.DUMMYFUNCTION("""COMPUTED_VALUE"""),127953.0)</f>
        <v>127953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IFERROR(__xludf.DUMMYFUNCTION("""COMPUTED_VALUE"""),114.44)</f>
        <v>114.44</v>
      </c>
      <c r="C1726" s="1">
        <f>IFERROR(__xludf.DUMMYFUNCTION("""COMPUTED_VALUE"""),116.83)</f>
        <v>116.83</v>
      </c>
      <c r="D1726" s="1">
        <f>IFERROR(__xludf.DUMMYFUNCTION("""COMPUTED_VALUE"""),113.2)</f>
        <v>113.2</v>
      </c>
      <c r="E1726" s="1">
        <f>IFERROR(__xludf.DUMMYFUNCTION("""COMPUTED_VALUE"""),116.59)</f>
        <v>116.59</v>
      </c>
      <c r="F1726" s="1">
        <f>IFERROR(__xludf.DUMMYFUNCTION("""COMPUTED_VALUE"""),88091.0)</f>
        <v>88091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IFERROR(__xludf.DUMMYFUNCTION("""COMPUTED_VALUE"""),115.87)</f>
        <v>115.87</v>
      </c>
      <c r="C1727" s="1">
        <f>IFERROR(__xludf.DUMMYFUNCTION("""COMPUTED_VALUE"""),117.9)</f>
        <v>117.9</v>
      </c>
      <c r="D1727" s="1">
        <f>IFERROR(__xludf.DUMMYFUNCTION("""COMPUTED_VALUE"""),115.8)</f>
        <v>115.8</v>
      </c>
      <c r="E1727" s="1">
        <f>IFERROR(__xludf.DUMMYFUNCTION("""COMPUTED_VALUE"""),115.99)</f>
        <v>115.99</v>
      </c>
      <c r="F1727" s="1">
        <f>IFERROR(__xludf.DUMMYFUNCTION("""COMPUTED_VALUE"""),69622.0)</f>
        <v>69622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IFERROR(__xludf.DUMMYFUNCTION("""COMPUTED_VALUE"""),114.75)</f>
        <v>114.75</v>
      </c>
      <c r="C1728" s="1">
        <f>IFERROR(__xludf.DUMMYFUNCTION("""COMPUTED_VALUE"""),117.6)</f>
        <v>117.6</v>
      </c>
      <c r="D1728" s="1">
        <f>IFERROR(__xludf.DUMMYFUNCTION("""COMPUTED_VALUE"""),112.9)</f>
        <v>112.9</v>
      </c>
      <c r="E1728" s="1">
        <f>IFERROR(__xludf.DUMMYFUNCTION("""COMPUTED_VALUE"""),116.85)</f>
        <v>116.85</v>
      </c>
      <c r="F1728" s="1">
        <f>IFERROR(__xludf.DUMMYFUNCTION("""COMPUTED_VALUE"""),78725.0)</f>
        <v>78725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IFERROR(__xludf.DUMMYFUNCTION("""COMPUTED_VALUE"""),115.8)</f>
        <v>115.8</v>
      </c>
      <c r="C1729" s="1">
        <f>IFERROR(__xludf.DUMMYFUNCTION("""COMPUTED_VALUE"""),116.77)</f>
        <v>116.77</v>
      </c>
      <c r="D1729" s="1">
        <f>IFERROR(__xludf.DUMMYFUNCTION("""COMPUTED_VALUE"""),105.06)</f>
        <v>105.06</v>
      </c>
      <c r="E1729" s="1">
        <f>IFERROR(__xludf.DUMMYFUNCTION("""COMPUTED_VALUE"""),116.21)</f>
        <v>116.21</v>
      </c>
      <c r="F1729" s="1">
        <f>IFERROR(__xludf.DUMMYFUNCTION("""COMPUTED_VALUE"""),88979.0)</f>
        <v>88979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IFERROR(__xludf.DUMMYFUNCTION("""COMPUTED_VALUE"""),116.54)</f>
        <v>116.54</v>
      </c>
      <c r="C1730" s="1">
        <f>IFERROR(__xludf.DUMMYFUNCTION("""COMPUTED_VALUE"""),119.16)</f>
        <v>119.16</v>
      </c>
      <c r="D1730" s="1">
        <f>IFERROR(__xludf.DUMMYFUNCTION("""COMPUTED_VALUE"""),114.69)</f>
        <v>114.69</v>
      </c>
      <c r="E1730" s="1">
        <f>IFERROR(__xludf.DUMMYFUNCTION("""COMPUTED_VALUE"""),119.01)</f>
        <v>119.01</v>
      </c>
      <c r="F1730" s="1">
        <f>IFERROR(__xludf.DUMMYFUNCTION("""COMPUTED_VALUE"""),113433.0)</f>
        <v>113433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IFERROR(__xludf.DUMMYFUNCTION("""COMPUTED_VALUE"""),120.01)</f>
        <v>120.01</v>
      </c>
      <c r="C1731" s="1">
        <f>IFERROR(__xludf.DUMMYFUNCTION("""COMPUTED_VALUE"""),120.18)</f>
        <v>120.18</v>
      </c>
      <c r="D1731" s="1">
        <f>IFERROR(__xludf.DUMMYFUNCTION("""COMPUTED_VALUE"""),118.34)</f>
        <v>118.34</v>
      </c>
      <c r="E1731" s="1">
        <f>IFERROR(__xludf.DUMMYFUNCTION("""COMPUTED_VALUE"""),119.32)</f>
        <v>119.32</v>
      </c>
      <c r="F1731" s="1">
        <f>IFERROR(__xludf.DUMMYFUNCTION("""COMPUTED_VALUE"""),81004.0)</f>
        <v>81004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IFERROR(__xludf.DUMMYFUNCTION("""COMPUTED_VALUE"""),119.57)</f>
        <v>119.57</v>
      </c>
      <c r="C1732" s="1">
        <f>IFERROR(__xludf.DUMMYFUNCTION("""COMPUTED_VALUE"""),120.12)</f>
        <v>120.12</v>
      </c>
      <c r="D1732" s="1">
        <f>IFERROR(__xludf.DUMMYFUNCTION("""COMPUTED_VALUE"""),118.54)</f>
        <v>118.54</v>
      </c>
      <c r="E1732" s="1">
        <f>IFERROR(__xludf.DUMMYFUNCTION("""COMPUTED_VALUE"""),119.32)</f>
        <v>119.32</v>
      </c>
      <c r="F1732" s="1">
        <f>IFERROR(__xludf.DUMMYFUNCTION("""COMPUTED_VALUE"""),79049.0)</f>
        <v>79049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IFERROR(__xludf.DUMMYFUNCTION("""COMPUTED_VALUE"""),119.31)</f>
        <v>119.31</v>
      </c>
      <c r="C1733" s="1">
        <f>IFERROR(__xludf.DUMMYFUNCTION("""COMPUTED_VALUE"""),122.0)</f>
        <v>122</v>
      </c>
      <c r="D1733" s="1">
        <f>IFERROR(__xludf.DUMMYFUNCTION("""COMPUTED_VALUE"""),118.1)</f>
        <v>118.1</v>
      </c>
      <c r="E1733" s="1">
        <f>IFERROR(__xludf.DUMMYFUNCTION("""COMPUTED_VALUE"""),120.8)</f>
        <v>120.8</v>
      </c>
      <c r="F1733" s="1">
        <f>IFERROR(__xludf.DUMMYFUNCTION("""COMPUTED_VALUE"""),58147.0)</f>
        <v>58147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IFERROR(__xludf.DUMMYFUNCTION("""COMPUTED_VALUE"""),121.26)</f>
        <v>121.26</v>
      </c>
      <c r="C1734" s="1">
        <f>IFERROR(__xludf.DUMMYFUNCTION("""COMPUTED_VALUE"""),122.78)</f>
        <v>122.78</v>
      </c>
      <c r="D1734" s="1">
        <f>IFERROR(__xludf.DUMMYFUNCTION("""COMPUTED_VALUE"""),120.34)</f>
        <v>120.34</v>
      </c>
      <c r="E1734" s="1">
        <f>IFERROR(__xludf.DUMMYFUNCTION("""COMPUTED_VALUE"""),122.19)</f>
        <v>122.19</v>
      </c>
      <c r="F1734" s="1">
        <f>IFERROR(__xludf.DUMMYFUNCTION("""COMPUTED_VALUE"""),50253.0)</f>
        <v>50253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IFERROR(__xludf.DUMMYFUNCTION("""COMPUTED_VALUE"""),122.47)</f>
        <v>122.47</v>
      </c>
      <c r="C1735" s="1">
        <f>IFERROR(__xludf.DUMMYFUNCTION("""COMPUTED_VALUE"""),124.5)</f>
        <v>124.5</v>
      </c>
      <c r="D1735" s="1">
        <f>IFERROR(__xludf.DUMMYFUNCTION("""COMPUTED_VALUE"""),122.47)</f>
        <v>122.47</v>
      </c>
      <c r="E1735" s="1">
        <f>IFERROR(__xludf.DUMMYFUNCTION("""COMPUTED_VALUE"""),124.17)</f>
        <v>124.17</v>
      </c>
      <c r="F1735" s="1">
        <f>IFERROR(__xludf.DUMMYFUNCTION("""COMPUTED_VALUE"""),59927.0)</f>
        <v>59927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IFERROR(__xludf.DUMMYFUNCTION("""COMPUTED_VALUE"""),123.98)</f>
        <v>123.98</v>
      </c>
      <c r="C1736" s="1">
        <f>IFERROR(__xludf.DUMMYFUNCTION("""COMPUTED_VALUE"""),124.65)</f>
        <v>124.65</v>
      </c>
      <c r="D1736" s="1">
        <f>IFERROR(__xludf.DUMMYFUNCTION("""COMPUTED_VALUE"""),122.09)</f>
        <v>122.09</v>
      </c>
      <c r="E1736" s="1">
        <f>IFERROR(__xludf.DUMMYFUNCTION("""COMPUTED_VALUE"""),123.87)</f>
        <v>123.87</v>
      </c>
      <c r="F1736" s="1">
        <f>IFERROR(__xludf.DUMMYFUNCTION("""COMPUTED_VALUE"""),46620.0)</f>
        <v>46620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IFERROR(__xludf.DUMMYFUNCTION("""COMPUTED_VALUE"""),124.28)</f>
        <v>124.28</v>
      </c>
      <c r="C1737" s="1">
        <f>IFERROR(__xludf.DUMMYFUNCTION("""COMPUTED_VALUE"""),125.49)</f>
        <v>125.49</v>
      </c>
      <c r="D1737" s="1">
        <f>IFERROR(__xludf.DUMMYFUNCTION("""COMPUTED_VALUE"""),123.73)</f>
        <v>123.73</v>
      </c>
      <c r="E1737" s="1">
        <f>IFERROR(__xludf.DUMMYFUNCTION("""COMPUTED_VALUE"""),124.75)</f>
        <v>124.75</v>
      </c>
      <c r="F1737" s="1">
        <f>IFERROR(__xludf.DUMMYFUNCTION("""COMPUTED_VALUE"""),70188.0)</f>
        <v>70188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IFERROR(__xludf.DUMMYFUNCTION("""COMPUTED_VALUE"""),124.49)</f>
        <v>124.49</v>
      </c>
      <c r="C1738" s="1">
        <f>IFERROR(__xludf.DUMMYFUNCTION("""COMPUTED_VALUE"""),125.5)</f>
        <v>125.5</v>
      </c>
      <c r="D1738" s="1">
        <f>IFERROR(__xludf.DUMMYFUNCTION("""COMPUTED_VALUE"""),122.6)</f>
        <v>122.6</v>
      </c>
      <c r="E1738" s="1">
        <f>IFERROR(__xludf.DUMMYFUNCTION("""COMPUTED_VALUE"""),124.44)</f>
        <v>124.44</v>
      </c>
      <c r="F1738" s="1">
        <f>IFERROR(__xludf.DUMMYFUNCTION("""COMPUTED_VALUE"""),45047.0)</f>
        <v>45047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IFERROR(__xludf.DUMMYFUNCTION("""COMPUTED_VALUE"""),124.78)</f>
        <v>124.78</v>
      </c>
      <c r="C1739" s="1">
        <f>IFERROR(__xludf.DUMMYFUNCTION("""COMPUTED_VALUE"""),126.51)</f>
        <v>126.51</v>
      </c>
      <c r="D1739" s="1">
        <f>IFERROR(__xludf.DUMMYFUNCTION("""COMPUTED_VALUE"""),124.73)</f>
        <v>124.73</v>
      </c>
      <c r="E1739" s="1">
        <f>IFERROR(__xludf.DUMMYFUNCTION("""COMPUTED_VALUE"""),126.42)</f>
        <v>126.42</v>
      </c>
      <c r="F1739" s="1">
        <f>IFERROR(__xludf.DUMMYFUNCTION("""COMPUTED_VALUE"""),19573.0)</f>
        <v>19573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IFERROR(__xludf.DUMMYFUNCTION("""COMPUTED_VALUE"""),126.0)</f>
        <v>126</v>
      </c>
      <c r="C1740" s="1">
        <f>IFERROR(__xludf.DUMMYFUNCTION("""COMPUTED_VALUE"""),126.49)</f>
        <v>126.49</v>
      </c>
      <c r="D1740" s="1">
        <f>IFERROR(__xludf.DUMMYFUNCTION("""COMPUTED_VALUE"""),124.73)</f>
        <v>124.73</v>
      </c>
      <c r="E1740" s="1">
        <f>IFERROR(__xludf.DUMMYFUNCTION("""COMPUTED_VALUE"""),124.98)</f>
        <v>124.98</v>
      </c>
      <c r="F1740" s="1">
        <f>IFERROR(__xludf.DUMMYFUNCTION("""COMPUTED_VALUE"""),103133.0)</f>
        <v>103133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IFERROR(__xludf.DUMMYFUNCTION("""COMPUTED_VALUE"""),125.1)</f>
        <v>125.1</v>
      </c>
      <c r="C1741" s="1">
        <f>IFERROR(__xludf.DUMMYFUNCTION("""COMPUTED_VALUE"""),125.1)</f>
        <v>125.1</v>
      </c>
      <c r="D1741" s="1">
        <f>IFERROR(__xludf.DUMMYFUNCTION("""COMPUTED_VALUE"""),122.32)</f>
        <v>122.32</v>
      </c>
      <c r="E1741" s="1">
        <f>IFERROR(__xludf.DUMMYFUNCTION("""COMPUTED_VALUE"""),122.51)</f>
        <v>122.51</v>
      </c>
      <c r="F1741" s="1">
        <f>IFERROR(__xludf.DUMMYFUNCTION("""COMPUTED_VALUE"""),125188.0)</f>
        <v>125188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IFERROR(__xludf.DUMMYFUNCTION("""COMPUTED_VALUE"""),122.5)</f>
        <v>122.5</v>
      </c>
      <c r="C1742" s="1">
        <f>IFERROR(__xludf.DUMMYFUNCTION("""COMPUTED_VALUE"""),123.58)</f>
        <v>123.58</v>
      </c>
      <c r="D1742" s="1">
        <f>IFERROR(__xludf.DUMMYFUNCTION("""COMPUTED_VALUE"""),120.83)</f>
        <v>120.83</v>
      </c>
      <c r="E1742" s="1">
        <f>IFERROR(__xludf.DUMMYFUNCTION("""COMPUTED_VALUE"""),121.43)</f>
        <v>121.43</v>
      </c>
      <c r="F1742" s="1">
        <f>IFERROR(__xludf.DUMMYFUNCTION("""COMPUTED_VALUE"""),66846.0)</f>
        <v>66846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IFERROR(__xludf.DUMMYFUNCTION("""COMPUTED_VALUE"""),121.68)</f>
        <v>121.68</v>
      </c>
      <c r="C1743" s="1">
        <f>IFERROR(__xludf.DUMMYFUNCTION("""COMPUTED_VALUE"""),122.27)</f>
        <v>122.27</v>
      </c>
      <c r="D1743" s="1">
        <f>IFERROR(__xludf.DUMMYFUNCTION("""COMPUTED_VALUE"""),119.75)</f>
        <v>119.75</v>
      </c>
      <c r="E1743" s="1">
        <f>IFERROR(__xludf.DUMMYFUNCTION("""COMPUTED_VALUE"""),119.89)</f>
        <v>119.89</v>
      </c>
      <c r="F1743" s="1">
        <f>IFERROR(__xludf.DUMMYFUNCTION("""COMPUTED_VALUE"""),70699.0)</f>
        <v>70699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IFERROR(__xludf.DUMMYFUNCTION("""COMPUTED_VALUE"""),119.99)</f>
        <v>119.99</v>
      </c>
      <c r="C1744" s="1">
        <f>IFERROR(__xludf.DUMMYFUNCTION("""COMPUTED_VALUE"""),121.44)</f>
        <v>121.44</v>
      </c>
      <c r="D1744" s="1">
        <f>IFERROR(__xludf.DUMMYFUNCTION("""COMPUTED_VALUE"""),119.81)</f>
        <v>119.81</v>
      </c>
      <c r="E1744" s="1">
        <f>IFERROR(__xludf.DUMMYFUNCTION("""COMPUTED_VALUE"""),120.39)</f>
        <v>120.39</v>
      </c>
      <c r="F1744" s="1">
        <f>IFERROR(__xludf.DUMMYFUNCTION("""COMPUTED_VALUE"""),41430.0)</f>
        <v>41430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IFERROR(__xludf.DUMMYFUNCTION("""COMPUTED_VALUE"""),121.03)</f>
        <v>121.03</v>
      </c>
      <c r="C1745" s="1">
        <f>IFERROR(__xludf.DUMMYFUNCTION("""COMPUTED_VALUE"""),123.04)</f>
        <v>123.04</v>
      </c>
      <c r="D1745" s="1">
        <f>IFERROR(__xludf.DUMMYFUNCTION("""COMPUTED_VALUE"""),120.97)</f>
        <v>120.97</v>
      </c>
      <c r="E1745" s="1">
        <f>IFERROR(__xludf.DUMMYFUNCTION("""COMPUTED_VALUE"""),121.71)</f>
        <v>121.71</v>
      </c>
      <c r="F1745" s="1">
        <f>IFERROR(__xludf.DUMMYFUNCTION("""COMPUTED_VALUE"""),94702.0)</f>
        <v>94702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IFERROR(__xludf.DUMMYFUNCTION("""COMPUTED_VALUE"""),121.96)</f>
        <v>121.96</v>
      </c>
      <c r="C1746" s="1">
        <f>IFERROR(__xludf.DUMMYFUNCTION("""COMPUTED_VALUE"""),124.48)</f>
        <v>124.48</v>
      </c>
      <c r="D1746" s="1">
        <f>IFERROR(__xludf.DUMMYFUNCTION("""COMPUTED_VALUE"""),121.72)</f>
        <v>121.72</v>
      </c>
      <c r="E1746" s="1">
        <f>IFERROR(__xludf.DUMMYFUNCTION("""COMPUTED_VALUE"""),124.45)</f>
        <v>124.45</v>
      </c>
      <c r="F1746" s="1">
        <f>IFERROR(__xludf.DUMMYFUNCTION("""COMPUTED_VALUE"""),58583.0)</f>
        <v>58583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IFERROR(__xludf.DUMMYFUNCTION("""COMPUTED_VALUE"""),124.23)</f>
        <v>124.23</v>
      </c>
      <c r="C1747" s="1">
        <f>IFERROR(__xludf.DUMMYFUNCTION("""COMPUTED_VALUE"""),127.75)</f>
        <v>127.75</v>
      </c>
      <c r="D1747" s="1">
        <f>IFERROR(__xludf.DUMMYFUNCTION("""COMPUTED_VALUE"""),124.23)</f>
        <v>124.23</v>
      </c>
      <c r="E1747" s="1">
        <f>IFERROR(__xludf.DUMMYFUNCTION("""COMPUTED_VALUE"""),127.3)</f>
        <v>127.3</v>
      </c>
      <c r="F1747" s="1">
        <f>IFERROR(__xludf.DUMMYFUNCTION("""COMPUTED_VALUE"""),51173.0)</f>
        <v>51173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IFERROR(__xludf.DUMMYFUNCTION("""COMPUTED_VALUE"""),127.54)</f>
        <v>127.54</v>
      </c>
      <c r="C1748" s="1">
        <f>IFERROR(__xludf.DUMMYFUNCTION("""COMPUTED_VALUE"""),129.61)</f>
        <v>129.61</v>
      </c>
      <c r="D1748" s="1">
        <f>IFERROR(__xludf.DUMMYFUNCTION("""COMPUTED_VALUE"""),124.82)</f>
        <v>124.82</v>
      </c>
      <c r="E1748" s="1">
        <f>IFERROR(__xludf.DUMMYFUNCTION("""COMPUTED_VALUE"""),129.4)</f>
        <v>129.4</v>
      </c>
      <c r="F1748" s="1">
        <f>IFERROR(__xludf.DUMMYFUNCTION("""COMPUTED_VALUE"""),69567.0)</f>
        <v>69567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IFERROR(__xludf.DUMMYFUNCTION("""COMPUTED_VALUE"""),130.0)</f>
        <v>130</v>
      </c>
      <c r="C1749" s="1">
        <f>IFERROR(__xludf.DUMMYFUNCTION("""COMPUTED_VALUE"""),135.04)</f>
        <v>135.04</v>
      </c>
      <c r="D1749" s="1">
        <f>IFERROR(__xludf.DUMMYFUNCTION("""COMPUTED_VALUE"""),128.52)</f>
        <v>128.52</v>
      </c>
      <c r="E1749" s="1">
        <f>IFERROR(__xludf.DUMMYFUNCTION("""COMPUTED_VALUE"""),134.48)</f>
        <v>134.48</v>
      </c>
      <c r="F1749" s="1">
        <f>IFERROR(__xludf.DUMMYFUNCTION("""COMPUTED_VALUE"""),72925.0)</f>
        <v>72925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IFERROR(__xludf.DUMMYFUNCTION("""COMPUTED_VALUE"""),133.58)</f>
        <v>133.58</v>
      </c>
      <c r="C1750" s="1">
        <f>IFERROR(__xludf.DUMMYFUNCTION("""COMPUTED_VALUE"""),134.92)</f>
        <v>134.92</v>
      </c>
      <c r="D1750" s="1">
        <f>IFERROR(__xludf.DUMMYFUNCTION("""COMPUTED_VALUE"""),132.3)</f>
        <v>132.3</v>
      </c>
      <c r="E1750" s="1">
        <f>IFERROR(__xludf.DUMMYFUNCTION("""COMPUTED_VALUE"""),133.3)</f>
        <v>133.3</v>
      </c>
      <c r="F1750" s="1">
        <f>IFERROR(__xludf.DUMMYFUNCTION("""COMPUTED_VALUE"""),73198.0)</f>
        <v>73198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IFERROR(__xludf.DUMMYFUNCTION("""COMPUTED_VALUE"""),133.97)</f>
        <v>133.97</v>
      </c>
      <c r="C1751" s="1">
        <f>IFERROR(__xludf.DUMMYFUNCTION("""COMPUTED_VALUE"""),134.35)</f>
        <v>134.35</v>
      </c>
      <c r="D1751" s="1">
        <f>IFERROR(__xludf.DUMMYFUNCTION("""COMPUTED_VALUE"""),132.37)</f>
        <v>132.37</v>
      </c>
      <c r="E1751" s="1">
        <f>IFERROR(__xludf.DUMMYFUNCTION("""COMPUTED_VALUE"""),132.98)</f>
        <v>132.98</v>
      </c>
      <c r="F1751" s="1">
        <f>IFERROR(__xludf.DUMMYFUNCTION("""COMPUTED_VALUE"""),53465.0)</f>
        <v>53465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IFERROR(__xludf.DUMMYFUNCTION("""COMPUTED_VALUE"""),133.13)</f>
        <v>133.13</v>
      </c>
      <c r="C1752" s="1">
        <f>IFERROR(__xludf.DUMMYFUNCTION("""COMPUTED_VALUE"""),133.16)</f>
        <v>133.16</v>
      </c>
      <c r="D1752" s="1">
        <f>IFERROR(__xludf.DUMMYFUNCTION("""COMPUTED_VALUE"""),130.25)</f>
        <v>130.25</v>
      </c>
      <c r="E1752" s="1">
        <f>IFERROR(__xludf.DUMMYFUNCTION("""COMPUTED_VALUE"""),130.62)</f>
        <v>130.62</v>
      </c>
      <c r="F1752" s="1">
        <f>IFERROR(__xludf.DUMMYFUNCTION("""COMPUTED_VALUE"""),74265.0)</f>
        <v>74265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IFERROR(__xludf.DUMMYFUNCTION("""COMPUTED_VALUE"""),131.03)</f>
        <v>131.03</v>
      </c>
      <c r="C1753" s="1">
        <f>IFERROR(__xludf.DUMMYFUNCTION("""COMPUTED_VALUE"""),133.88)</f>
        <v>133.88</v>
      </c>
      <c r="D1753" s="1">
        <f>IFERROR(__xludf.DUMMYFUNCTION("""COMPUTED_VALUE"""),127.6)</f>
        <v>127.6</v>
      </c>
      <c r="E1753" s="1">
        <f>IFERROR(__xludf.DUMMYFUNCTION("""COMPUTED_VALUE"""),133.43)</f>
        <v>133.43</v>
      </c>
      <c r="F1753" s="1">
        <f>IFERROR(__xludf.DUMMYFUNCTION("""COMPUTED_VALUE"""),77750.0)</f>
        <v>77750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IFERROR(__xludf.DUMMYFUNCTION("""COMPUTED_VALUE"""),134.18)</f>
        <v>134.18</v>
      </c>
      <c r="C1754" s="1">
        <f>IFERROR(__xludf.DUMMYFUNCTION("""COMPUTED_VALUE"""),135.0)</f>
        <v>135</v>
      </c>
      <c r="D1754" s="1">
        <f>IFERROR(__xludf.DUMMYFUNCTION("""COMPUTED_VALUE"""),132.82)</f>
        <v>132.82</v>
      </c>
      <c r="E1754" s="1">
        <f>IFERROR(__xludf.DUMMYFUNCTION("""COMPUTED_VALUE"""),133.92)</f>
        <v>133.92</v>
      </c>
      <c r="F1754" s="1">
        <f>IFERROR(__xludf.DUMMYFUNCTION("""COMPUTED_VALUE"""),195974.0)</f>
        <v>195974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IFERROR(__xludf.DUMMYFUNCTION("""COMPUTED_VALUE"""),133.62)</f>
        <v>133.62</v>
      </c>
      <c r="C1755" s="1">
        <f>IFERROR(__xludf.DUMMYFUNCTION("""COMPUTED_VALUE"""),133.62)</f>
        <v>133.62</v>
      </c>
      <c r="D1755" s="1">
        <f>IFERROR(__xludf.DUMMYFUNCTION("""COMPUTED_VALUE"""),130.57)</f>
        <v>130.57</v>
      </c>
      <c r="E1755" s="1">
        <f>IFERROR(__xludf.DUMMYFUNCTION("""COMPUTED_VALUE"""),131.88)</f>
        <v>131.88</v>
      </c>
      <c r="F1755" s="1">
        <f>IFERROR(__xludf.DUMMYFUNCTION("""COMPUTED_VALUE"""),90416.0)</f>
        <v>90416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IFERROR(__xludf.DUMMYFUNCTION("""COMPUTED_VALUE"""),132.47)</f>
        <v>132.47</v>
      </c>
      <c r="C1756" s="1">
        <f>IFERROR(__xludf.DUMMYFUNCTION("""COMPUTED_VALUE"""),133.25)</f>
        <v>133.25</v>
      </c>
      <c r="D1756" s="1">
        <f>IFERROR(__xludf.DUMMYFUNCTION("""COMPUTED_VALUE"""),131.47)</f>
        <v>131.47</v>
      </c>
      <c r="E1756" s="1">
        <f>IFERROR(__xludf.DUMMYFUNCTION("""COMPUTED_VALUE"""),132.63)</f>
        <v>132.63</v>
      </c>
      <c r="F1756" s="1">
        <f>IFERROR(__xludf.DUMMYFUNCTION("""COMPUTED_VALUE"""),51800.0)</f>
        <v>51800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IFERROR(__xludf.DUMMYFUNCTION("""COMPUTED_VALUE"""),132.92)</f>
        <v>132.92</v>
      </c>
      <c r="C1757" s="1">
        <f>IFERROR(__xludf.DUMMYFUNCTION("""COMPUTED_VALUE"""),134.82)</f>
        <v>134.82</v>
      </c>
      <c r="D1757" s="1">
        <f>IFERROR(__xludf.DUMMYFUNCTION("""COMPUTED_VALUE"""),131.64)</f>
        <v>131.64</v>
      </c>
      <c r="E1757" s="1">
        <f>IFERROR(__xludf.DUMMYFUNCTION("""COMPUTED_VALUE"""),131.68)</f>
        <v>131.68</v>
      </c>
      <c r="F1757" s="1">
        <f>IFERROR(__xludf.DUMMYFUNCTION("""COMPUTED_VALUE"""),42192.0)</f>
        <v>42192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IFERROR(__xludf.DUMMYFUNCTION("""COMPUTED_VALUE"""),131.99)</f>
        <v>131.99</v>
      </c>
      <c r="C1758" s="1">
        <f>IFERROR(__xludf.DUMMYFUNCTION("""COMPUTED_VALUE"""),133.04)</f>
        <v>133.04</v>
      </c>
      <c r="D1758" s="1">
        <f>IFERROR(__xludf.DUMMYFUNCTION("""COMPUTED_VALUE"""),130.79)</f>
        <v>130.79</v>
      </c>
      <c r="E1758" s="1">
        <f>IFERROR(__xludf.DUMMYFUNCTION("""COMPUTED_VALUE"""),132.18)</f>
        <v>132.18</v>
      </c>
      <c r="F1758" s="1">
        <f>IFERROR(__xludf.DUMMYFUNCTION("""COMPUTED_VALUE"""),49142.0)</f>
        <v>49142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IFERROR(__xludf.DUMMYFUNCTION("""COMPUTED_VALUE"""),132.85)</f>
        <v>132.85</v>
      </c>
      <c r="C1759" s="1">
        <f>IFERROR(__xludf.DUMMYFUNCTION("""COMPUTED_VALUE"""),133.5)</f>
        <v>133.5</v>
      </c>
      <c r="D1759" s="1">
        <f>IFERROR(__xludf.DUMMYFUNCTION("""COMPUTED_VALUE"""),131.33)</f>
        <v>131.33</v>
      </c>
      <c r="E1759" s="1">
        <f>IFERROR(__xludf.DUMMYFUNCTION("""COMPUTED_VALUE"""),132.49)</f>
        <v>132.49</v>
      </c>
      <c r="F1759" s="1">
        <f>IFERROR(__xludf.DUMMYFUNCTION("""COMPUTED_VALUE"""),30401.0)</f>
        <v>30401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IFERROR(__xludf.DUMMYFUNCTION("""COMPUTED_VALUE"""),132.99)</f>
        <v>132.99</v>
      </c>
      <c r="C1760" s="1">
        <f>IFERROR(__xludf.DUMMYFUNCTION("""COMPUTED_VALUE"""),134.68)</f>
        <v>134.68</v>
      </c>
      <c r="D1760" s="1">
        <f>IFERROR(__xludf.DUMMYFUNCTION("""COMPUTED_VALUE"""),132.65)</f>
        <v>132.65</v>
      </c>
      <c r="E1760" s="1">
        <f>IFERROR(__xludf.DUMMYFUNCTION("""COMPUTED_VALUE"""),133.72)</f>
        <v>133.72</v>
      </c>
      <c r="F1760" s="1">
        <f>IFERROR(__xludf.DUMMYFUNCTION("""COMPUTED_VALUE"""),31377.0)</f>
        <v>31377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IFERROR(__xludf.DUMMYFUNCTION("""COMPUTED_VALUE"""),133.72)</f>
        <v>133.72</v>
      </c>
      <c r="C1761" s="1">
        <f>IFERROR(__xludf.DUMMYFUNCTION("""COMPUTED_VALUE"""),134.2)</f>
        <v>134.2</v>
      </c>
      <c r="D1761" s="1">
        <f>IFERROR(__xludf.DUMMYFUNCTION("""COMPUTED_VALUE"""),132.1)</f>
        <v>132.1</v>
      </c>
      <c r="E1761" s="1">
        <f>IFERROR(__xludf.DUMMYFUNCTION("""COMPUTED_VALUE"""),133.59)</f>
        <v>133.59</v>
      </c>
      <c r="F1761" s="1">
        <f>IFERROR(__xludf.DUMMYFUNCTION("""COMPUTED_VALUE"""),42290.0)</f>
        <v>42290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IFERROR(__xludf.DUMMYFUNCTION("""COMPUTED_VALUE"""),133.48)</f>
        <v>133.48</v>
      </c>
      <c r="C1762" s="1">
        <f>IFERROR(__xludf.DUMMYFUNCTION("""COMPUTED_VALUE"""),134.37)</f>
        <v>134.37</v>
      </c>
      <c r="D1762" s="1">
        <f>IFERROR(__xludf.DUMMYFUNCTION("""COMPUTED_VALUE"""),132.15)</f>
        <v>132.15</v>
      </c>
      <c r="E1762" s="1">
        <f>IFERROR(__xludf.DUMMYFUNCTION("""COMPUTED_VALUE"""),133.04)</f>
        <v>133.04</v>
      </c>
      <c r="F1762" s="1">
        <f>IFERROR(__xludf.DUMMYFUNCTION("""COMPUTED_VALUE"""),51681.0)</f>
        <v>51681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IFERROR(__xludf.DUMMYFUNCTION("""COMPUTED_VALUE"""),133.0)</f>
        <v>133</v>
      </c>
      <c r="C1763" s="1">
        <f>IFERROR(__xludf.DUMMYFUNCTION("""COMPUTED_VALUE"""),134.6)</f>
        <v>134.6</v>
      </c>
      <c r="D1763" s="1">
        <f>IFERROR(__xludf.DUMMYFUNCTION("""COMPUTED_VALUE"""),131.78)</f>
        <v>131.78</v>
      </c>
      <c r="E1763" s="1">
        <f>IFERROR(__xludf.DUMMYFUNCTION("""COMPUTED_VALUE"""),133.43)</f>
        <v>133.43</v>
      </c>
      <c r="F1763" s="1">
        <f>IFERROR(__xludf.DUMMYFUNCTION("""COMPUTED_VALUE"""),42812.0)</f>
        <v>42812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IFERROR(__xludf.DUMMYFUNCTION("""COMPUTED_VALUE"""),134.32)</f>
        <v>134.32</v>
      </c>
      <c r="C1764" s="1">
        <f>IFERROR(__xludf.DUMMYFUNCTION("""COMPUTED_VALUE"""),134.32)</f>
        <v>134.32</v>
      </c>
      <c r="D1764" s="1">
        <f>IFERROR(__xludf.DUMMYFUNCTION("""COMPUTED_VALUE"""),132.03)</f>
        <v>132.03</v>
      </c>
      <c r="E1764" s="1">
        <f>IFERROR(__xludf.DUMMYFUNCTION("""COMPUTED_VALUE"""),132.8)</f>
        <v>132.8</v>
      </c>
      <c r="F1764" s="1">
        <f>IFERROR(__xludf.DUMMYFUNCTION("""COMPUTED_VALUE"""),47158.0)</f>
        <v>47158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IFERROR(__xludf.DUMMYFUNCTION("""COMPUTED_VALUE"""),131.89)</f>
        <v>131.89</v>
      </c>
      <c r="C1765" s="1">
        <f>IFERROR(__xludf.DUMMYFUNCTION("""COMPUTED_VALUE"""),134.86)</f>
        <v>134.86</v>
      </c>
      <c r="D1765" s="1">
        <f>IFERROR(__xludf.DUMMYFUNCTION("""COMPUTED_VALUE"""),131.89)</f>
        <v>131.89</v>
      </c>
      <c r="E1765" s="1">
        <f>IFERROR(__xludf.DUMMYFUNCTION("""COMPUTED_VALUE"""),134.61)</f>
        <v>134.61</v>
      </c>
      <c r="F1765" s="1">
        <f>IFERROR(__xludf.DUMMYFUNCTION("""COMPUTED_VALUE"""),93943.0)</f>
        <v>93943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IFERROR(__xludf.DUMMYFUNCTION("""COMPUTED_VALUE"""),134.59)</f>
        <v>134.59</v>
      </c>
      <c r="C1766" s="1">
        <f>IFERROR(__xludf.DUMMYFUNCTION("""COMPUTED_VALUE"""),134.95)</f>
        <v>134.95</v>
      </c>
      <c r="D1766" s="1">
        <f>IFERROR(__xludf.DUMMYFUNCTION("""COMPUTED_VALUE"""),133.16)</f>
        <v>133.16</v>
      </c>
      <c r="E1766" s="1">
        <f>IFERROR(__xludf.DUMMYFUNCTION("""COMPUTED_VALUE"""),133.9)</f>
        <v>133.9</v>
      </c>
      <c r="F1766" s="1">
        <f>IFERROR(__xludf.DUMMYFUNCTION("""COMPUTED_VALUE"""),54363.0)</f>
        <v>54363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IFERROR(__xludf.DUMMYFUNCTION("""COMPUTED_VALUE"""),134.15)</f>
        <v>134.15</v>
      </c>
      <c r="C1767" s="1">
        <f>IFERROR(__xludf.DUMMYFUNCTION("""COMPUTED_VALUE"""),134.15)</f>
        <v>134.15</v>
      </c>
      <c r="D1767" s="1">
        <f>IFERROR(__xludf.DUMMYFUNCTION("""COMPUTED_VALUE"""),131.88)</f>
        <v>131.88</v>
      </c>
      <c r="E1767" s="1">
        <f>IFERROR(__xludf.DUMMYFUNCTION("""COMPUTED_VALUE"""),132.0)</f>
        <v>132</v>
      </c>
      <c r="F1767" s="1">
        <f>IFERROR(__xludf.DUMMYFUNCTION("""COMPUTED_VALUE"""),29741.0)</f>
        <v>29741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IFERROR(__xludf.DUMMYFUNCTION("""COMPUTED_VALUE"""),131.37)</f>
        <v>131.37</v>
      </c>
      <c r="C1768" s="1">
        <f>IFERROR(__xludf.DUMMYFUNCTION("""COMPUTED_VALUE"""),132.03)</f>
        <v>132.03</v>
      </c>
      <c r="D1768" s="1">
        <f>IFERROR(__xludf.DUMMYFUNCTION("""COMPUTED_VALUE"""),129.44)</f>
        <v>129.44</v>
      </c>
      <c r="E1768" s="1">
        <f>IFERROR(__xludf.DUMMYFUNCTION("""COMPUTED_VALUE"""),130.06)</f>
        <v>130.06</v>
      </c>
      <c r="F1768" s="1">
        <f>IFERROR(__xludf.DUMMYFUNCTION("""COMPUTED_VALUE"""),62309.0)</f>
        <v>62309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IFERROR(__xludf.DUMMYFUNCTION("""COMPUTED_VALUE"""),130.55)</f>
        <v>130.55</v>
      </c>
      <c r="C1769" s="1">
        <f>IFERROR(__xludf.DUMMYFUNCTION("""COMPUTED_VALUE"""),131.08)</f>
        <v>131.08</v>
      </c>
      <c r="D1769" s="1">
        <f>IFERROR(__xludf.DUMMYFUNCTION("""COMPUTED_VALUE"""),128.91)</f>
        <v>128.91</v>
      </c>
      <c r="E1769" s="1">
        <f>IFERROR(__xludf.DUMMYFUNCTION("""COMPUTED_VALUE"""),129.58)</f>
        <v>129.58</v>
      </c>
      <c r="F1769" s="1">
        <f>IFERROR(__xludf.DUMMYFUNCTION("""COMPUTED_VALUE"""),55758.0)</f>
        <v>55758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IFERROR(__xludf.DUMMYFUNCTION("""COMPUTED_VALUE"""),129.97)</f>
        <v>129.97</v>
      </c>
      <c r="C1770" s="1">
        <f>IFERROR(__xludf.DUMMYFUNCTION("""COMPUTED_VALUE"""),130.95)</f>
        <v>130.95</v>
      </c>
      <c r="D1770" s="1">
        <f>IFERROR(__xludf.DUMMYFUNCTION("""COMPUTED_VALUE"""),129.49)</f>
        <v>129.49</v>
      </c>
      <c r="E1770" s="1">
        <f>IFERROR(__xludf.DUMMYFUNCTION("""COMPUTED_VALUE"""),130.5)</f>
        <v>130.5</v>
      </c>
      <c r="F1770" s="1">
        <f>IFERROR(__xludf.DUMMYFUNCTION("""COMPUTED_VALUE"""),36271.0)</f>
        <v>36271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IFERROR(__xludf.DUMMYFUNCTION("""COMPUTED_VALUE"""),130.22)</f>
        <v>130.22</v>
      </c>
      <c r="C1771" s="1">
        <f>IFERROR(__xludf.DUMMYFUNCTION("""COMPUTED_VALUE"""),131.52)</f>
        <v>131.52</v>
      </c>
      <c r="D1771" s="1">
        <f>IFERROR(__xludf.DUMMYFUNCTION("""COMPUTED_VALUE"""),127.82)</f>
        <v>127.82</v>
      </c>
      <c r="E1771" s="1">
        <f>IFERROR(__xludf.DUMMYFUNCTION("""COMPUTED_VALUE"""),128.21)</f>
        <v>128.21</v>
      </c>
      <c r="F1771" s="1">
        <f>IFERROR(__xludf.DUMMYFUNCTION("""COMPUTED_VALUE"""),82230.0)</f>
        <v>82230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IFERROR(__xludf.DUMMYFUNCTION("""COMPUTED_VALUE"""),128.46)</f>
        <v>128.46</v>
      </c>
      <c r="C1772" s="1">
        <f>IFERROR(__xludf.DUMMYFUNCTION("""COMPUTED_VALUE"""),130.18)</f>
        <v>130.18</v>
      </c>
      <c r="D1772" s="1">
        <f>IFERROR(__xludf.DUMMYFUNCTION("""COMPUTED_VALUE"""),127.4)</f>
        <v>127.4</v>
      </c>
      <c r="E1772" s="1">
        <f>IFERROR(__xludf.DUMMYFUNCTION("""COMPUTED_VALUE"""),130.05)</f>
        <v>130.05</v>
      </c>
      <c r="F1772" s="1">
        <f>IFERROR(__xludf.DUMMYFUNCTION("""COMPUTED_VALUE"""),59949.0)</f>
        <v>59949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IFERROR(__xludf.DUMMYFUNCTION("""COMPUTED_VALUE"""),130.46)</f>
        <v>130.46</v>
      </c>
      <c r="C1773" s="1">
        <f>IFERROR(__xludf.DUMMYFUNCTION("""COMPUTED_VALUE"""),131.24)</f>
        <v>131.24</v>
      </c>
      <c r="D1773" s="1">
        <f>IFERROR(__xludf.DUMMYFUNCTION("""COMPUTED_VALUE"""),129.35)</f>
        <v>129.35</v>
      </c>
      <c r="E1773" s="1">
        <f>IFERROR(__xludf.DUMMYFUNCTION("""COMPUTED_VALUE"""),130.01)</f>
        <v>130.01</v>
      </c>
      <c r="F1773" s="1">
        <f>IFERROR(__xludf.DUMMYFUNCTION("""COMPUTED_VALUE"""),61320.0)</f>
        <v>61320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IFERROR(__xludf.DUMMYFUNCTION("""COMPUTED_VALUE"""),130.63)</f>
        <v>130.63</v>
      </c>
      <c r="C1774" s="1">
        <f>IFERROR(__xludf.DUMMYFUNCTION("""COMPUTED_VALUE"""),130.83)</f>
        <v>130.83</v>
      </c>
      <c r="D1774" s="1">
        <f>IFERROR(__xludf.DUMMYFUNCTION("""COMPUTED_VALUE"""),129.0)</f>
        <v>129</v>
      </c>
      <c r="E1774" s="1">
        <f>IFERROR(__xludf.DUMMYFUNCTION("""COMPUTED_VALUE"""),130.44)</f>
        <v>130.44</v>
      </c>
      <c r="F1774" s="1">
        <f>IFERROR(__xludf.DUMMYFUNCTION("""COMPUTED_VALUE"""),49569.0)</f>
        <v>49569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IFERROR(__xludf.DUMMYFUNCTION("""COMPUTED_VALUE"""),131.16)</f>
        <v>131.16</v>
      </c>
      <c r="C1775" s="1">
        <f>IFERROR(__xludf.DUMMYFUNCTION("""COMPUTED_VALUE"""),131.16)</f>
        <v>131.16</v>
      </c>
      <c r="D1775" s="1">
        <f>IFERROR(__xludf.DUMMYFUNCTION("""COMPUTED_VALUE"""),127.54)</f>
        <v>127.54</v>
      </c>
      <c r="E1775" s="1">
        <f>IFERROR(__xludf.DUMMYFUNCTION("""COMPUTED_VALUE"""),128.94)</f>
        <v>128.94</v>
      </c>
      <c r="F1775" s="1">
        <f>IFERROR(__xludf.DUMMYFUNCTION("""COMPUTED_VALUE"""),38015.0)</f>
        <v>38015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IFERROR(__xludf.DUMMYFUNCTION("""COMPUTED_VALUE"""),128.54)</f>
        <v>128.54</v>
      </c>
      <c r="C1776" s="1">
        <f>IFERROR(__xludf.DUMMYFUNCTION("""COMPUTED_VALUE"""),129.94)</f>
        <v>129.94</v>
      </c>
      <c r="D1776" s="1">
        <f>IFERROR(__xludf.DUMMYFUNCTION("""COMPUTED_VALUE"""),128.12)</f>
        <v>128.12</v>
      </c>
      <c r="E1776" s="1">
        <f>IFERROR(__xludf.DUMMYFUNCTION("""COMPUTED_VALUE"""),128.82)</f>
        <v>128.82</v>
      </c>
      <c r="F1776" s="1">
        <f>IFERROR(__xludf.DUMMYFUNCTION("""COMPUTED_VALUE"""),41697.0)</f>
        <v>41697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IFERROR(__xludf.DUMMYFUNCTION("""COMPUTED_VALUE"""),129.1)</f>
        <v>129.1</v>
      </c>
      <c r="C1777" s="1">
        <f>IFERROR(__xludf.DUMMYFUNCTION("""COMPUTED_VALUE"""),131.88)</f>
        <v>131.88</v>
      </c>
      <c r="D1777" s="1">
        <f>IFERROR(__xludf.DUMMYFUNCTION("""COMPUTED_VALUE"""),125.21)</f>
        <v>125.21</v>
      </c>
      <c r="E1777" s="1">
        <f>IFERROR(__xludf.DUMMYFUNCTION("""COMPUTED_VALUE"""),127.57)</f>
        <v>127.57</v>
      </c>
      <c r="F1777" s="1">
        <f>IFERROR(__xludf.DUMMYFUNCTION("""COMPUTED_VALUE"""),76428.0)</f>
        <v>76428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IFERROR(__xludf.DUMMYFUNCTION("""COMPUTED_VALUE"""),134.6)</f>
        <v>134.6</v>
      </c>
      <c r="C1778" s="1">
        <f>IFERROR(__xludf.DUMMYFUNCTION("""COMPUTED_VALUE"""),134.6)</f>
        <v>134.6</v>
      </c>
      <c r="D1778" s="1">
        <f>IFERROR(__xludf.DUMMYFUNCTION("""COMPUTED_VALUE"""),128.76)</f>
        <v>128.76</v>
      </c>
      <c r="E1778" s="1">
        <f>IFERROR(__xludf.DUMMYFUNCTION("""COMPUTED_VALUE"""),129.54)</f>
        <v>129.54</v>
      </c>
      <c r="F1778" s="1">
        <f>IFERROR(__xludf.DUMMYFUNCTION("""COMPUTED_VALUE"""),244110.0)</f>
        <v>244110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IFERROR(__xludf.DUMMYFUNCTION("""COMPUTED_VALUE"""),130.0)</f>
        <v>130</v>
      </c>
      <c r="C1779" s="1">
        <f>IFERROR(__xludf.DUMMYFUNCTION("""COMPUTED_VALUE"""),132.78)</f>
        <v>132.78</v>
      </c>
      <c r="D1779" s="1">
        <f>IFERROR(__xludf.DUMMYFUNCTION("""COMPUTED_VALUE"""),129.45)</f>
        <v>129.45</v>
      </c>
      <c r="E1779" s="1">
        <f>IFERROR(__xludf.DUMMYFUNCTION("""COMPUTED_VALUE"""),132.69)</f>
        <v>132.69</v>
      </c>
      <c r="F1779" s="1">
        <f>IFERROR(__xludf.DUMMYFUNCTION("""COMPUTED_VALUE"""),78424.0)</f>
        <v>78424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IFERROR(__xludf.DUMMYFUNCTION("""COMPUTED_VALUE"""),132.93)</f>
        <v>132.93</v>
      </c>
      <c r="C1780" s="1">
        <f>IFERROR(__xludf.DUMMYFUNCTION("""COMPUTED_VALUE"""),132.93)</f>
        <v>132.93</v>
      </c>
      <c r="D1780" s="1">
        <f>IFERROR(__xludf.DUMMYFUNCTION("""COMPUTED_VALUE"""),130.53)</f>
        <v>130.53</v>
      </c>
      <c r="E1780" s="1">
        <f>IFERROR(__xludf.DUMMYFUNCTION("""COMPUTED_VALUE"""),131.17)</f>
        <v>131.17</v>
      </c>
      <c r="F1780" s="1">
        <f>IFERROR(__xludf.DUMMYFUNCTION("""COMPUTED_VALUE"""),67464.0)</f>
        <v>67464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IFERROR(__xludf.DUMMYFUNCTION("""COMPUTED_VALUE"""),131.58)</f>
        <v>131.58</v>
      </c>
      <c r="C1781" s="1">
        <f>IFERROR(__xludf.DUMMYFUNCTION("""COMPUTED_VALUE"""),131.58)</f>
        <v>131.58</v>
      </c>
      <c r="D1781" s="1">
        <f>IFERROR(__xludf.DUMMYFUNCTION("""COMPUTED_VALUE"""),129.2)</f>
        <v>129.2</v>
      </c>
      <c r="E1781" s="1">
        <f>IFERROR(__xludf.DUMMYFUNCTION("""COMPUTED_VALUE"""),130.6)</f>
        <v>130.6</v>
      </c>
      <c r="F1781" s="1">
        <f>IFERROR(__xludf.DUMMYFUNCTION("""COMPUTED_VALUE"""),54658.0)</f>
        <v>54658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IFERROR(__xludf.DUMMYFUNCTION("""COMPUTED_VALUE"""),130.19)</f>
        <v>130.19</v>
      </c>
      <c r="C1782" s="1">
        <f>IFERROR(__xludf.DUMMYFUNCTION("""COMPUTED_VALUE"""),135.05)</f>
        <v>135.05</v>
      </c>
      <c r="D1782" s="1">
        <f>IFERROR(__xludf.DUMMYFUNCTION("""COMPUTED_VALUE"""),128.09)</f>
        <v>128.09</v>
      </c>
      <c r="E1782" s="1">
        <f>IFERROR(__xludf.DUMMYFUNCTION("""COMPUTED_VALUE"""),128.16)</f>
        <v>128.16</v>
      </c>
      <c r="F1782" s="1">
        <f>IFERROR(__xludf.DUMMYFUNCTION("""COMPUTED_VALUE"""),62440.0)</f>
        <v>62440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IFERROR(__xludf.DUMMYFUNCTION("""COMPUTED_VALUE"""),127.46)</f>
        <v>127.46</v>
      </c>
      <c r="C1783" s="1">
        <f>IFERROR(__xludf.DUMMYFUNCTION("""COMPUTED_VALUE"""),128.42)</f>
        <v>128.42</v>
      </c>
      <c r="D1783" s="1">
        <f>IFERROR(__xludf.DUMMYFUNCTION("""COMPUTED_VALUE"""),125.84)</f>
        <v>125.84</v>
      </c>
      <c r="E1783" s="1">
        <f>IFERROR(__xludf.DUMMYFUNCTION("""COMPUTED_VALUE"""),127.57)</f>
        <v>127.57</v>
      </c>
      <c r="F1783" s="1">
        <f>IFERROR(__xludf.DUMMYFUNCTION("""COMPUTED_VALUE"""),103116.0)</f>
        <v>103116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IFERROR(__xludf.DUMMYFUNCTION("""COMPUTED_VALUE"""),128.41)</f>
        <v>128.41</v>
      </c>
      <c r="C1784" s="1">
        <f>IFERROR(__xludf.DUMMYFUNCTION("""COMPUTED_VALUE"""),130.22)</f>
        <v>130.22</v>
      </c>
      <c r="D1784" s="1">
        <f>IFERROR(__xludf.DUMMYFUNCTION("""COMPUTED_VALUE"""),125.31)</f>
        <v>125.31</v>
      </c>
      <c r="E1784" s="1">
        <f>IFERROR(__xludf.DUMMYFUNCTION("""COMPUTED_VALUE"""),126.07)</f>
        <v>126.07</v>
      </c>
      <c r="F1784" s="1">
        <f>IFERROR(__xludf.DUMMYFUNCTION("""COMPUTED_VALUE"""),75210.0)</f>
        <v>75210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IFERROR(__xludf.DUMMYFUNCTION("""COMPUTED_VALUE"""),126.39)</f>
        <v>126.39</v>
      </c>
      <c r="C1785" s="1">
        <f>IFERROR(__xludf.DUMMYFUNCTION("""COMPUTED_VALUE"""),128.08)</f>
        <v>128.08</v>
      </c>
      <c r="D1785" s="1">
        <f>IFERROR(__xludf.DUMMYFUNCTION("""COMPUTED_VALUE"""),126.39)</f>
        <v>126.39</v>
      </c>
      <c r="E1785" s="1">
        <f>IFERROR(__xludf.DUMMYFUNCTION("""COMPUTED_VALUE"""),127.03)</f>
        <v>127.03</v>
      </c>
      <c r="F1785" s="1">
        <f>IFERROR(__xludf.DUMMYFUNCTION("""COMPUTED_VALUE"""),67012.0)</f>
        <v>67012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IFERROR(__xludf.DUMMYFUNCTION("""COMPUTED_VALUE"""),127.95)</f>
        <v>127.95</v>
      </c>
      <c r="C1786" s="1">
        <f>IFERROR(__xludf.DUMMYFUNCTION("""COMPUTED_VALUE"""),130.22)</f>
        <v>130.22</v>
      </c>
      <c r="D1786" s="1">
        <f>IFERROR(__xludf.DUMMYFUNCTION("""COMPUTED_VALUE"""),127.14)</f>
        <v>127.14</v>
      </c>
      <c r="E1786" s="1">
        <f>IFERROR(__xludf.DUMMYFUNCTION("""COMPUTED_VALUE"""),127.7)</f>
        <v>127.7</v>
      </c>
      <c r="F1786" s="1">
        <f>IFERROR(__xludf.DUMMYFUNCTION("""COMPUTED_VALUE"""),44377.0)</f>
        <v>44377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IFERROR(__xludf.DUMMYFUNCTION("""COMPUTED_VALUE"""),127.48)</f>
        <v>127.48</v>
      </c>
      <c r="C1787" s="1">
        <f>IFERROR(__xludf.DUMMYFUNCTION("""COMPUTED_VALUE"""),127.52)</f>
        <v>127.52</v>
      </c>
      <c r="D1787" s="1">
        <f>IFERROR(__xludf.DUMMYFUNCTION("""COMPUTED_VALUE"""),124.57)</f>
        <v>124.57</v>
      </c>
      <c r="E1787" s="1">
        <f>IFERROR(__xludf.DUMMYFUNCTION("""COMPUTED_VALUE"""),125.64)</f>
        <v>125.64</v>
      </c>
      <c r="F1787" s="1">
        <f>IFERROR(__xludf.DUMMYFUNCTION("""COMPUTED_VALUE"""),41320.0)</f>
        <v>41320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IFERROR(__xludf.DUMMYFUNCTION("""COMPUTED_VALUE"""),125.81)</f>
        <v>125.81</v>
      </c>
      <c r="C1788" s="1">
        <f>IFERROR(__xludf.DUMMYFUNCTION("""COMPUTED_VALUE"""),127.65)</f>
        <v>127.65</v>
      </c>
      <c r="D1788" s="1">
        <f>IFERROR(__xludf.DUMMYFUNCTION("""COMPUTED_VALUE"""),125.65)</f>
        <v>125.65</v>
      </c>
      <c r="E1788" s="1">
        <f>IFERROR(__xludf.DUMMYFUNCTION("""COMPUTED_VALUE"""),127.16)</f>
        <v>127.16</v>
      </c>
      <c r="F1788" s="1">
        <f>IFERROR(__xludf.DUMMYFUNCTION("""COMPUTED_VALUE"""),47349.0)</f>
        <v>47349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IFERROR(__xludf.DUMMYFUNCTION("""COMPUTED_VALUE"""),127.09)</f>
        <v>127.09</v>
      </c>
      <c r="C1789" s="1">
        <f>IFERROR(__xludf.DUMMYFUNCTION("""COMPUTED_VALUE"""),128.35)</f>
        <v>128.35</v>
      </c>
      <c r="D1789" s="1">
        <f>IFERROR(__xludf.DUMMYFUNCTION("""COMPUTED_VALUE"""),125.65)</f>
        <v>125.65</v>
      </c>
      <c r="E1789" s="1">
        <f>IFERROR(__xludf.DUMMYFUNCTION("""COMPUTED_VALUE"""),127.31)</f>
        <v>127.31</v>
      </c>
      <c r="F1789" s="1">
        <f>IFERROR(__xludf.DUMMYFUNCTION("""COMPUTED_VALUE"""),45744.0)</f>
        <v>45744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IFERROR(__xludf.DUMMYFUNCTION("""COMPUTED_VALUE"""),127.6)</f>
        <v>127.6</v>
      </c>
      <c r="C1790" s="1">
        <f>IFERROR(__xludf.DUMMYFUNCTION("""COMPUTED_VALUE"""),129.89)</f>
        <v>129.89</v>
      </c>
      <c r="D1790" s="1">
        <f>IFERROR(__xludf.DUMMYFUNCTION("""COMPUTED_VALUE"""),126.83)</f>
        <v>126.83</v>
      </c>
      <c r="E1790" s="1">
        <f>IFERROR(__xludf.DUMMYFUNCTION("""COMPUTED_VALUE"""),129.66)</f>
        <v>129.66</v>
      </c>
      <c r="F1790" s="1">
        <f>IFERROR(__xludf.DUMMYFUNCTION("""COMPUTED_VALUE"""),70511.0)</f>
        <v>70511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IFERROR(__xludf.DUMMYFUNCTION("""COMPUTED_VALUE"""),130.3)</f>
        <v>130.3</v>
      </c>
      <c r="C1791" s="1">
        <f>IFERROR(__xludf.DUMMYFUNCTION("""COMPUTED_VALUE"""),131.07)</f>
        <v>131.07</v>
      </c>
      <c r="D1791" s="1">
        <f>IFERROR(__xludf.DUMMYFUNCTION("""COMPUTED_VALUE"""),129.0)</f>
        <v>129</v>
      </c>
      <c r="E1791" s="1">
        <f>IFERROR(__xludf.DUMMYFUNCTION("""COMPUTED_VALUE"""),130.72)</f>
        <v>130.72</v>
      </c>
      <c r="F1791" s="1">
        <f>IFERROR(__xludf.DUMMYFUNCTION("""COMPUTED_VALUE"""),59353.0)</f>
        <v>59353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IFERROR(__xludf.DUMMYFUNCTION("""COMPUTED_VALUE"""),131.06)</f>
        <v>131.06</v>
      </c>
      <c r="C1792" s="1">
        <f>IFERROR(__xludf.DUMMYFUNCTION("""COMPUTED_VALUE"""),131.06)</f>
        <v>131.06</v>
      </c>
      <c r="D1792" s="1">
        <f>IFERROR(__xludf.DUMMYFUNCTION("""COMPUTED_VALUE"""),128.07)</f>
        <v>128.07</v>
      </c>
      <c r="E1792" s="1">
        <f>IFERROR(__xludf.DUMMYFUNCTION("""COMPUTED_VALUE"""),128.33)</f>
        <v>128.33</v>
      </c>
      <c r="F1792" s="1">
        <f>IFERROR(__xludf.DUMMYFUNCTION("""COMPUTED_VALUE"""),38551.0)</f>
        <v>38551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IFERROR(__xludf.DUMMYFUNCTION("""COMPUTED_VALUE"""),127.6)</f>
        <v>127.6</v>
      </c>
      <c r="C1793" s="1">
        <f>IFERROR(__xludf.DUMMYFUNCTION("""COMPUTED_VALUE"""),127.72)</f>
        <v>127.72</v>
      </c>
      <c r="D1793" s="1">
        <f>IFERROR(__xludf.DUMMYFUNCTION("""COMPUTED_VALUE"""),125.84)</f>
        <v>125.84</v>
      </c>
      <c r="E1793" s="1">
        <f>IFERROR(__xludf.DUMMYFUNCTION("""COMPUTED_VALUE"""),127.26)</f>
        <v>127.26</v>
      </c>
      <c r="F1793" s="1">
        <f>IFERROR(__xludf.DUMMYFUNCTION("""COMPUTED_VALUE"""),64719.0)</f>
        <v>64719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IFERROR(__xludf.DUMMYFUNCTION("""COMPUTED_VALUE"""),126.85)</f>
        <v>126.85</v>
      </c>
      <c r="C1794" s="1">
        <f>IFERROR(__xludf.DUMMYFUNCTION("""COMPUTED_VALUE"""),129.58)</f>
        <v>129.58</v>
      </c>
      <c r="D1794" s="1">
        <f>IFERROR(__xludf.DUMMYFUNCTION("""COMPUTED_VALUE"""),126.85)</f>
        <v>126.85</v>
      </c>
      <c r="E1794" s="1">
        <f>IFERROR(__xludf.DUMMYFUNCTION("""COMPUTED_VALUE"""),129.26)</f>
        <v>129.26</v>
      </c>
      <c r="F1794" s="1">
        <f>IFERROR(__xludf.DUMMYFUNCTION("""COMPUTED_VALUE"""),32957.0)</f>
        <v>32957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IFERROR(__xludf.DUMMYFUNCTION("""COMPUTED_VALUE"""),129.26)</f>
        <v>129.26</v>
      </c>
      <c r="C1795" s="1">
        <f>IFERROR(__xludf.DUMMYFUNCTION("""COMPUTED_VALUE"""),130.01)</f>
        <v>130.01</v>
      </c>
      <c r="D1795" s="1">
        <f>IFERROR(__xludf.DUMMYFUNCTION("""COMPUTED_VALUE"""),127.3)</f>
        <v>127.3</v>
      </c>
      <c r="E1795" s="1">
        <f>IFERROR(__xludf.DUMMYFUNCTION("""COMPUTED_VALUE"""),129.93)</f>
        <v>129.93</v>
      </c>
      <c r="F1795" s="1">
        <f>IFERROR(__xludf.DUMMYFUNCTION("""COMPUTED_VALUE"""),51025.0)</f>
        <v>51025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IFERROR(__xludf.DUMMYFUNCTION("""COMPUTED_VALUE"""),129.15)</f>
        <v>129.15</v>
      </c>
      <c r="C1796" s="1">
        <f>IFERROR(__xludf.DUMMYFUNCTION("""COMPUTED_VALUE"""),130.17)</f>
        <v>130.17</v>
      </c>
      <c r="D1796" s="1">
        <f>IFERROR(__xludf.DUMMYFUNCTION("""COMPUTED_VALUE"""),128.1)</f>
        <v>128.1</v>
      </c>
      <c r="E1796" s="1">
        <f>IFERROR(__xludf.DUMMYFUNCTION("""COMPUTED_VALUE"""),129.85)</f>
        <v>129.85</v>
      </c>
      <c r="F1796" s="1">
        <f>IFERROR(__xludf.DUMMYFUNCTION("""COMPUTED_VALUE"""),64584.0)</f>
        <v>64584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IFERROR(__xludf.DUMMYFUNCTION("""COMPUTED_VALUE"""),130.19)</f>
        <v>130.19</v>
      </c>
      <c r="C1797" s="1">
        <f>IFERROR(__xludf.DUMMYFUNCTION("""COMPUTED_VALUE"""),132.33)</f>
        <v>132.33</v>
      </c>
      <c r="D1797" s="1">
        <f>IFERROR(__xludf.DUMMYFUNCTION("""COMPUTED_VALUE"""),130.19)</f>
        <v>130.19</v>
      </c>
      <c r="E1797" s="1">
        <f>IFERROR(__xludf.DUMMYFUNCTION("""COMPUTED_VALUE"""),131.76)</f>
        <v>131.76</v>
      </c>
      <c r="F1797" s="1">
        <f>IFERROR(__xludf.DUMMYFUNCTION("""COMPUTED_VALUE"""),51796.0)</f>
        <v>51796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IFERROR(__xludf.DUMMYFUNCTION("""COMPUTED_VALUE"""),131.59)</f>
        <v>131.59</v>
      </c>
      <c r="C1798" s="1">
        <f>IFERROR(__xludf.DUMMYFUNCTION("""COMPUTED_VALUE"""),133.32)</f>
        <v>133.32</v>
      </c>
      <c r="D1798" s="1">
        <f>IFERROR(__xludf.DUMMYFUNCTION("""COMPUTED_VALUE"""),129.65)</f>
        <v>129.65</v>
      </c>
      <c r="E1798" s="1">
        <f>IFERROR(__xludf.DUMMYFUNCTION("""COMPUTED_VALUE"""),132.08)</f>
        <v>132.08</v>
      </c>
      <c r="F1798" s="1">
        <f>IFERROR(__xludf.DUMMYFUNCTION("""COMPUTED_VALUE"""),57023.0)</f>
        <v>57023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IFERROR(__xludf.DUMMYFUNCTION("""COMPUTED_VALUE"""),132.09)</f>
        <v>132.09</v>
      </c>
      <c r="C1799" s="1">
        <f>IFERROR(__xludf.DUMMYFUNCTION("""COMPUTED_VALUE"""),133.77)</f>
        <v>133.77</v>
      </c>
      <c r="D1799" s="1">
        <f>IFERROR(__xludf.DUMMYFUNCTION("""COMPUTED_VALUE"""),130.47)</f>
        <v>130.47</v>
      </c>
      <c r="E1799" s="1">
        <f>IFERROR(__xludf.DUMMYFUNCTION("""COMPUTED_VALUE"""),133.16)</f>
        <v>133.16</v>
      </c>
      <c r="F1799" s="1">
        <f>IFERROR(__xludf.DUMMYFUNCTION("""COMPUTED_VALUE"""),99498.0)</f>
        <v>99498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IFERROR(__xludf.DUMMYFUNCTION("""COMPUTED_VALUE"""),133.29)</f>
        <v>133.29</v>
      </c>
      <c r="C1800" s="1">
        <f>IFERROR(__xludf.DUMMYFUNCTION("""COMPUTED_VALUE"""),133.95)</f>
        <v>133.95</v>
      </c>
      <c r="D1800" s="1">
        <f>IFERROR(__xludf.DUMMYFUNCTION("""COMPUTED_VALUE"""),132.44)</f>
        <v>132.44</v>
      </c>
      <c r="E1800" s="1">
        <f>IFERROR(__xludf.DUMMYFUNCTION("""COMPUTED_VALUE"""),133.56)</f>
        <v>133.56</v>
      </c>
      <c r="F1800" s="1">
        <f>IFERROR(__xludf.DUMMYFUNCTION("""COMPUTED_VALUE"""),72270.0)</f>
        <v>72270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IFERROR(__xludf.DUMMYFUNCTION("""COMPUTED_VALUE"""),133.8)</f>
        <v>133.8</v>
      </c>
      <c r="C1801" s="1">
        <f>IFERROR(__xludf.DUMMYFUNCTION("""COMPUTED_VALUE"""),134.17)</f>
        <v>134.17</v>
      </c>
      <c r="D1801" s="1">
        <f>IFERROR(__xludf.DUMMYFUNCTION("""COMPUTED_VALUE"""),131.49)</f>
        <v>131.49</v>
      </c>
      <c r="E1801" s="1">
        <f>IFERROR(__xludf.DUMMYFUNCTION("""COMPUTED_VALUE"""),133.99)</f>
        <v>133.99</v>
      </c>
      <c r="F1801" s="1">
        <f>IFERROR(__xludf.DUMMYFUNCTION("""COMPUTED_VALUE"""),109704.0)</f>
        <v>109704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IFERROR(__xludf.DUMMYFUNCTION("""COMPUTED_VALUE"""),133.41)</f>
        <v>133.41</v>
      </c>
      <c r="C1802" s="1">
        <f>IFERROR(__xludf.DUMMYFUNCTION("""COMPUTED_VALUE"""),134.44)</f>
        <v>134.44</v>
      </c>
      <c r="D1802" s="1">
        <f>IFERROR(__xludf.DUMMYFUNCTION("""COMPUTED_VALUE"""),131.27)</f>
        <v>131.27</v>
      </c>
      <c r="E1802" s="1">
        <f>IFERROR(__xludf.DUMMYFUNCTION("""COMPUTED_VALUE"""),133.8)</f>
        <v>133.8</v>
      </c>
      <c r="F1802" s="1">
        <f>IFERROR(__xludf.DUMMYFUNCTION("""COMPUTED_VALUE"""),158938.0)</f>
        <v>158938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IFERROR(__xludf.DUMMYFUNCTION("""COMPUTED_VALUE"""),133.59)</f>
        <v>133.59</v>
      </c>
      <c r="C1803" s="1">
        <f>IFERROR(__xludf.DUMMYFUNCTION("""COMPUTED_VALUE"""),134.86)</f>
        <v>134.86</v>
      </c>
      <c r="D1803" s="1">
        <f>IFERROR(__xludf.DUMMYFUNCTION("""COMPUTED_VALUE"""),131.69)</f>
        <v>131.69</v>
      </c>
      <c r="E1803" s="1">
        <f>IFERROR(__xludf.DUMMYFUNCTION("""COMPUTED_VALUE"""),133.8)</f>
        <v>133.8</v>
      </c>
      <c r="F1803" s="1">
        <f>IFERROR(__xludf.DUMMYFUNCTION("""COMPUTED_VALUE"""),68126.0)</f>
        <v>68126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IFERROR(__xludf.DUMMYFUNCTION("""COMPUTED_VALUE"""),133.7)</f>
        <v>133.7</v>
      </c>
      <c r="C1804" s="1">
        <f>IFERROR(__xludf.DUMMYFUNCTION("""COMPUTED_VALUE"""),134.6)</f>
        <v>134.6</v>
      </c>
      <c r="D1804" s="1">
        <f>IFERROR(__xludf.DUMMYFUNCTION("""COMPUTED_VALUE"""),131.03)</f>
        <v>131.03</v>
      </c>
      <c r="E1804" s="1">
        <f>IFERROR(__xludf.DUMMYFUNCTION("""COMPUTED_VALUE"""),133.28)</f>
        <v>133.28</v>
      </c>
      <c r="F1804" s="1">
        <f>IFERROR(__xludf.DUMMYFUNCTION("""COMPUTED_VALUE"""),44839.0)</f>
        <v>44839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IFERROR(__xludf.DUMMYFUNCTION("""COMPUTED_VALUE"""),133.52)</f>
        <v>133.52</v>
      </c>
      <c r="C1805" s="1">
        <f>IFERROR(__xludf.DUMMYFUNCTION("""COMPUTED_VALUE"""),134.26)</f>
        <v>134.26</v>
      </c>
      <c r="D1805" s="1">
        <f>IFERROR(__xludf.DUMMYFUNCTION("""COMPUTED_VALUE"""),132.01)</f>
        <v>132.01</v>
      </c>
      <c r="E1805" s="1">
        <f>IFERROR(__xludf.DUMMYFUNCTION("""COMPUTED_VALUE"""),133.93)</f>
        <v>133.93</v>
      </c>
      <c r="F1805" s="1">
        <f>IFERROR(__xludf.DUMMYFUNCTION("""COMPUTED_VALUE"""),41454.0)</f>
        <v>41454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IFERROR(__xludf.DUMMYFUNCTION("""COMPUTED_VALUE"""),133.22)</f>
        <v>133.22</v>
      </c>
      <c r="C1806" s="1">
        <f>IFERROR(__xludf.DUMMYFUNCTION("""COMPUTED_VALUE"""),133.89)</f>
        <v>133.89</v>
      </c>
      <c r="D1806" s="1">
        <f>IFERROR(__xludf.DUMMYFUNCTION("""COMPUTED_VALUE"""),129.77)</f>
        <v>129.77</v>
      </c>
      <c r="E1806" s="1">
        <f>IFERROR(__xludf.DUMMYFUNCTION("""COMPUTED_VALUE"""),133.75)</f>
        <v>133.75</v>
      </c>
      <c r="F1806" s="1">
        <f>IFERROR(__xludf.DUMMYFUNCTION("""COMPUTED_VALUE"""),46012.0)</f>
        <v>46012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IFERROR(__xludf.DUMMYFUNCTION("""COMPUTED_VALUE"""),133.62)</f>
        <v>133.62</v>
      </c>
      <c r="C1807" s="1">
        <f>IFERROR(__xludf.DUMMYFUNCTION("""COMPUTED_VALUE"""),134.0)</f>
        <v>134</v>
      </c>
      <c r="D1807" s="1">
        <f>IFERROR(__xludf.DUMMYFUNCTION("""COMPUTED_VALUE"""),130.78)</f>
        <v>130.78</v>
      </c>
      <c r="E1807" s="1">
        <f>IFERROR(__xludf.DUMMYFUNCTION("""COMPUTED_VALUE"""),132.47)</f>
        <v>132.47</v>
      </c>
      <c r="F1807" s="1">
        <f>IFERROR(__xludf.DUMMYFUNCTION("""COMPUTED_VALUE"""),35704.0)</f>
        <v>35704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IFERROR(__xludf.DUMMYFUNCTION("""COMPUTED_VALUE"""),132.72)</f>
        <v>132.72</v>
      </c>
      <c r="C1808" s="1">
        <f>IFERROR(__xludf.DUMMYFUNCTION("""COMPUTED_VALUE"""),134.51)</f>
        <v>134.51</v>
      </c>
      <c r="D1808" s="1">
        <f>IFERROR(__xludf.DUMMYFUNCTION("""COMPUTED_VALUE"""),132.37)</f>
        <v>132.37</v>
      </c>
      <c r="E1808" s="1">
        <f>IFERROR(__xludf.DUMMYFUNCTION("""COMPUTED_VALUE"""),132.47)</f>
        <v>132.47</v>
      </c>
      <c r="F1808" s="1">
        <f>IFERROR(__xludf.DUMMYFUNCTION("""COMPUTED_VALUE"""),41112.0)</f>
        <v>41112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IFERROR(__xludf.DUMMYFUNCTION("""COMPUTED_VALUE"""),132.56)</f>
        <v>132.56</v>
      </c>
      <c r="C1809" s="1">
        <f>IFERROR(__xludf.DUMMYFUNCTION("""COMPUTED_VALUE"""),133.6)</f>
        <v>133.6</v>
      </c>
      <c r="D1809" s="1">
        <f>IFERROR(__xludf.DUMMYFUNCTION("""COMPUTED_VALUE"""),132.39)</f>
        <v>132.39</v>
      </c>
      <c r="E1809" s="1">
        <f>IFERROR(__xludf.DUMMYFUNCTION("""COMPUTED_VALUE"""),132.65)</f>
        <v>132.65</v>
      </c>
      <c r="F1809" s="1">
        <f>IFERROR(__xludf.DUMMYFUNCTION("""COMPUTED_VALUE"""),47332.0)</f>
        <v>47332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IFERROR(__xludf.DUMMYFUNCTION("""COMPUTED_VALUE"""),133.53)</f>
        <v>133.53</v>
      </c>
      <c r="C1810" s="1">
        <f>IFERROR(__xludf.DUMMYFUNCTION("""COMPUTED_VALUE"""),133.9)</f>
        <v>133.9</v>
      </c>
      <c r="D1810" s="1">
        <f>IFERROR(__xludf.DUMMYFUNCTION("""COMPUTED_VALUE"""),132.5)</f>
        <v>132.5</v>
      </c>
      <c r="E1810" s="1">
        <f>IFERROR(__xludf.DUMMYFUNCTION("""COMPUTED_VALUE"""),133.63)</f>
        <v>133.63</v>
      </c>
      <c r="F1810" s="1">
        <f>IFERROR(__xludf.DUMMYFUNCTION("""COMPUTED_VALUE"""),35579.0)</f>
        <v>35579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IFERROR(__xludf.DUMMYFUNCTION("""COMPUTED_VALUE"""),133.41)</f>
        <v>133.41</v>
      </c>
      <c r="C1811" s="1">
        <f>IFERROR(__xludf.DUMMYFUNCTION("""COMPUTED_VALUE"""),133.73)</f>
        <v>133.73</v>
      </c>
      <c r="D1811" s="1">
        <f>IFERROR(__xludf.DUMMYFUNCTION("""COMPUTED_VALUE"""),132.1)</f>
        <v>132.1</v>
      </c>
      <c r="E1811" s="1">
        <f>IFERROR(__xludf.DUMMYFUNCTION("""COMPUTED_VALUE"""),133.5)</f>
        <v>133.5</v>
      </c>
      <c r="F1811" s="1">
        <f>IFERROR(__xludf.DUMMYFUNCTION("""COMPUTED_VALUE"""),31301.0)</f>
        <v>31301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IFERROR(__xludf.DUMMYFUNCTION("""COMPUTED_VALUE"""),133.28)</f>
        <v>133.28</v>
      </c>
      <c r="C1812" s="1">
        <f>IFERROR(__xludf.DUMMYFUNCTION("""COMPUTED_VALUE"""),134.4)</f>
        <v>134.4</v>
      </c>
      <c r="D1812" s="1">
        <f>IFERROR(__xludf.DUMMYFUNCTION("""COMPUTED_VALUE"""),132.15)</f>
        <v>132.15</v>
      </c>
      <c r="E1812" s="1">
        <f>IFERROR(__xludf.DUMMYFUNCTION("""COMPUTED_VALUE"""),134.17)</f>
        <v>134.17</v>
      </c>
      <c r="F1812" s="1">
        <f>IFERROR(__xludf.DUMMYFUNCTION("""COMPUTED_VALUE"""),48744.0)</f>
        <v>48744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IFERROR(__xludf.DUMMYFUNCTION("""COMPUTED_VALUE"""),134.58)</f>
        <v>134.58</v>
      </c>
      <c r="C1813" s="1">
        <f>IFERROR(__xludf.DUMMYFUNCTION("""COMPUTED_VALUE"""),136.11)</f>
        <v>136.11</v>
      </c>
      <c r="D1813" s="1">
        <f>IFERROR(__xludf.DUMMYFUNCTION("""COMPUTED_VALUE"""),134.02)</f>
        <v>134.02</v>
      </c>
      <c r="E1813" s="1">
        <f>IFERROR(__xludf.DUMMYFUNCTION("""COMPUTED_VALUE"""),135.55)</f>
        <v>135.55</v>
      </c>
      <c r="F1813" s="1">
        <f>IFERROR(__xludf.DUMMYFUNCTION("""COMPUTED_VALUE"""),69101.0)</f>
        <v>69101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IFERROR(__xludf.DUMMYFUNCTION("""COMPUTED_VALUE"""),135.81)</f>
        <v>135.81</v>
      </c>
      <c r="C1814" s="1">
        <f>IFERROR(__xludf.DUMMYFUNCTION("""COMPUTED_VALUE"""),137.54)</f>
        <v>137.54</v>
      </c>
      <c r="D1814" s="1">
        <f>IFERROR(__xludf.DUMMYFUNCTION("""COMPUTED_VALUE"""),134.37)</f>
        <v>134.37</v>
      </c>
      <c r="E1814" s="1">
        <f>IFERROR(__xludf.DUMMYFUNCTION("""COMPUTED_VALUE"""),136.27)</f>
        <v>136.27</v>
      </c>
      <c r="F1814" s="1">
        <f>IFERROR(__xludf.DUMMYFUNCTION("""COMPUTED_VALUE"""),55361.0)</f>
        <v>55361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IFERROR(__xludf.DUMMYFUNCTION("""COMPUTED_VALUE"""),135.52)</f>
        <v>135.52</v>
      </c>
      <c r="C1815" s="1">
        <f>IFERROR(__xludf.DUMMYFUNCTION("""COMPUTED_VALUE"""),139.54)</f>
        <v>139.54</v>
      </c>
      <c r="D1815" s="1">
        <f>IFERROR(__xludf.DUMMYFUNCTION("""COMPUTED_VALUE"""),135.26)</f>
        <v>135.26</v>
      </c>
      <c r="E1815" s="1">
        <f>IFERROR(__xludf.DUMMYFUNCTION("""COMPUTED_VALUE"""),138.73)</f>
        <v>138.73</v>
      </c>
      <c r="F1815" s="1">
        <f>IFERROR(__xludf.DUMMYFUNCTION("""COMPUTED_VALUE"""),178096.0)</f>
        <v>178096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IFERROR(__xludf.DUMMYFUNCTION("""COMPUTED_VALUE"""),138.18)</f>
        <v>138.18</v>
      </c>
      <c r="C1816" s="1">
        <f>IFERROR(__xludf.DUMMYFUNCTION("""COMPUTED_VALUE"""),139.2)</f>
        <v>139.2</v>
      </c>
      <c r="D1816" s="1">
        <f>IFERROR(__xludf.DUMMYFUNCTION("""COMPUTED_VALUE"""),136.23)</f>
        <v>136.23</v>
      </c>
      <c r="E1816" s="1">
        <f>IFERROR(__xludf.DUMMYFUNCTION("""COMPUTED_VALUE"""),138.85)</f>
        <v>138.85</v>
      </c>
      <c r="F1816" s="1">
        <f>IFERROR(__xludf.DUMMYFUNCTION("""COMPUTED_VALUE"""),43794.0)</f>
        <v>43794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IFERROR(__xludf.DUMMYFUNCTION("""COMPUTED_VALUE"""),139.69)</f>
        <v>139.69</v>
      </c>
      <c r="C1817" s="1">
        <f>IFERROR(__xludf.DUMMYFUNCTION("""COMPUTED_VALUE"""),143.21)</f>
        <v>143.21</v>
      </c>
      <c r="D1817" s="1">
        <f>IFERROR(__xludf.DUMMYFUNCTION("""COMPUTED_VALUE"""),134.22)</f>
        <v>134.22</v>
      </c>
      <c r="E1817" s="1">
        <f>IFERROR(__xludf.DUMMYFUNCTION("""COMPUTED_VALUE"""),137.65)</f>
        <v>137.65</v>
      </c>
      <c r="F1817" s="1">
        <f>IFERROR(__xludf.DUMMYFUNCTION("""COMPUTED_VALUE"""),46891.0)</f>
        <v>46891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IFERROR(__xludf.DUMMYFUNCTION("""COMPUTED_VALUE"""),137.08)</f>
        <v>137.08</v>
      </c>
      <c r="C1818" s="1">
        <f>IFERROR(__xludf.DUMMYFUNCTION("""COMPUTED_VALUE"""),138.22)</f>
        <v>138.22</v>
      </c>
      <c r="D1818" s="1">
        <f>IFERROR(__xludf.DUMMYFUNCTION("""COMPUTED_VALUE"""),136.23)</f>
        <v>136.23</v>
      </c>
      <c r="E1818" s="1">
        <f>IFERROR(__xludf.DUMMYFUNCTION("""COMPUTED_VALUE"""),137.24)</f>
        <v>137.24</v>
      </c>
      <c r="F1818" s="1">
        <f>IFERROR(__xludf.DUMMYFUNCTION("""COMPUTED_VALUE"""),52298.0)</f>
        <v>52298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IFERROR(__xludf.DUMMYFUNCTION("""COMPUTED_VALUE"""),137.92)</f>
        <v>137.92</v>
      </c>
      <c r="C1819" s="1">
        <f>IFERROR(__xludf.DUMMYFUNCTION("""COMPUTED_VALUE"""),139.35)</f>
        <v>139.35</v>
      </c>
      <c r="D1819" s="1">
        <f>IFERROR(__xludf.DUMMYFUNCTION("""COMPUTED_VALUE"""),136.09)</f>
        <v>136.09</v>
      </c>
      <c r="E1819" s="1">
        <f>IFERROR(__xludf.DUMMYFUNCTION("""COMPUTED_VALUE"""),136.83)</f>
        <v>136.83</v>
      </c>
      <c r="F1819" s="1">
        <f>IFERROR(__xludf.DUMMYFUNCTION("""COMPUTED_VALUE"""),45744.0)</f>
        <v>45744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IFERROR(__xludf.DUMMYFUNCTION("""COMPUTED_VALUE"""),136.83)</f>
        <v>136.83</v>
      </c>
      <c r="C1820" s="1">
        <f>IFERROR(__xludf.DUMMYFUNCTION("""COMPUTED_VALUE"""),137.37)</f>
        <v>137.37</v>
      </c>
      <c r="D1820" s="1">
        <f>IFERROR(__xludf.DUMMYFUNCTION("""COMPUTED_VALUE"""),135.35)</f>
        <v>135.35</v>
      </c>
      <c r="E1820" s="1">
        <f>IFERROR(__xludf.DUMMYFUNCTION("""COMPUTED_VALUE"""),136.31)</f>
        <v>136.31</v>
      </c>
      <c r="F1820" s="1">
        <f>IFERROR(__xludf.DUMMYFUNCTION("""COMPUTED_VALUE"""),63317.0)</f>
        <v>63317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IFERROR(__xludf.DUMMYFUNCTION("""COMPUTED_VALUE"""),134.85)</f>
        <v>134.85</v>
      </c>
      <c r="C1821" s="1">
        <f>IFERROR(__xludf.DUMMYFUNCTION("""COMPUTED_VALUE"""),142.28)</f>
        <v>142.28</v>
      </c>
      <c r="D1821" s="1">
        <f>IFERROR(__xludf.DUMMYFUNCTION("""COMPUTED_VALUE"""),134.85)</f>
        <v>134.85</v>
      </c>
      <c r="E1821" s="1">
        <f>IFERROR(__xludf.DUMMYFUNCTION("""COMPUTED_VALUE"""),137.16)</f>
        <v>137.16</v>
      </c>
      <c r="F1821" s="1">
        <f>IFERROR(__xludf.DUMMYFUNCTION("""COMPUTED_VALUE"""),35053.0)</f>
        <v>35053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IFERROR(__xludf.DUMMYFUNCTION("""COMPUTED_VALUE"""),136.95)</f>
        <v>136.95</v>
      </c>
      <c r="C1822" s="1">
        <f>IFERROR(__xludf.DUMMYFUNCTION("""COMPUTED_VALUE"""),137.21)</f>
        <v>137.21</v>
      </c>
      <c r="D1822" s="1">
        <f>IFERROR(__xludf.DUMMYFUNCTION("""COMPUTED_VALUE"""),135.0)</f>
        <v>135</v>
      </c>
      <c r="E1822" s="1">
        <f>IFERROR(__xludf.DUMMYFUNCTION("""COMPUTED_VALUE"""),135.28)</f>
        <v>135.28</v>
      </c>
      <c r="F1822" s="1">
        <f>IFERROR(__xludf.DUMMYFUNCTION("""COMPUTED_VALUE"""),82354.0)</f>
        <v>82354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IFERROR(__xludf.DUMMYFUNCTION("""COMPUTED_VALUE"""),136.04)</f>
        <v>136.04</v>
      </c>
      <c r="C1823" s="1">
        <f>IFERROR(__xludf.DUMMYFUNCTION("""COMPUTED_VALUE"""),136.35)</f>
        <v>136.35</v>
      </c>
      <c r="D1823" s="1">
        <f>IFERROR(__xludf.DUMMYFUNCTION("""COMPUTED_VALUE"""),134.86)</f>
        <v>134.86</v>
      </c>
      <c r="E1823" s="1">
        <f>IFERROR(__xludf.DUMMYFUNCTION("""COMPUTED_VALUE"""),135.98)</f>
        <v>135.98</v>
      </c>
      <c r="F1823" s="1">
        <f>IFERROR(__xludf.DUMMYFUNCTION("""COMPUTED_VALUE"""),63517.0)</f>
        <v>63517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IFERROR(__xludf.DUMMYFUNCTION("""COMPUTED_VALUE"""),136.48)</f>
        <v>136.48</v>
      </c>
      <c r="C1824" s="1">
        <f>IFERROR(__xludf.DUMMYFUNCTION("""COMPUTED_VALUE"""),136.63)</f>
        <v>136.63</v>
      </c>
      <c r="D1824" s="1">
        <f>IFERROR(__xludf.DUMMYFUNCTION("""COMPUTED_VALUE"""),134.32)</f>
        <v>134.32</v>
      </c>
      <c r="E1824" s="1">
        <f>IFERROR(__xludf.DUMMYFUNCTION("""COMPUTED_VALUE"""),135.64)</f>
        <v>135.64</v>
      </c>
      <c r="F1824" s="1">
        <f>IFERROR(__xludf.DUMMYFUNCTION("""COMPUTED_VALUE"""),59924.0)</f>
        <v>59924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IFERROR(__xludf.DUMMYFUNCTION("""COMPUTED_VALUE"""),136.36)</f>
        <v>136.36</v>
      </c>
      <c r="C1825" s="1">
        <f>IFERROR(__xludf.DUMMYFUNCTION("""COMPUTED_VALUE"""),137.24)</f>
        <v>137.24</v>
      </c>
      <c r="D1825" s="1">
        <f>IFERROR(__xludf.DUMMYFUNCTION("""COMPUTED_VALUE"""),135.37)</f>
        <v>135.37</v>
      </c>
      <c r="E1825" s="1">
        <f>IFERROR(__xludf.DUMMYFUNCTION("""COMPUTED_VALUE"""),135.56)</f>
        <v>135.56</v>
      </c>
      <c r="F1825" s="1">
        <f>IFERROR(__xludf.DUMMYFUNCTION("""COMPUTED_VALUE"""),71312.0)</f>
        <v>71312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IFERROR(__xludf.DUMMYFUNCTION("""COMPUTED_VALUE"""),136.12)</f>
        <v>136.12</v>
      </c>
      <c r="C1826" s="1">
        <f>IFERROR(__xludf.DUMMYFUNCTION("""COMPUTED_VALUE"""),136.79)</f>
        <v>136.79</v>
      </c>
      <c r="D1826" s="1">
        <f>IFERROR(__xludf.DUMMYFUNCTION("""COMPUTED_VALUE"""),133.98)</f>
        <v>133.98</v>
      </c>
      <c r="E1826" s="1">
        <f>IFERROR(__xludf.DUMMYFUNCTION("""COMPUTED_VALUE"""),134.15)</f>
        <v>134.15</v>
      </c>
      <c r="F1826" s="1">
        <f>IFERROR(__xludf.DUMMYFUNCTION("""COMPUTED_VALUE"""),63654.0)</f>
        <v>63654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IFERROR(__xludf.DUMMYFUNCTION("""COMPUTED_VALUE"""),133.9)</f>
        <v>133.9</v>
      </c>
      <c r="C1827" s="1">
        <f>IFERROR(__xludf.DUMMYFUNCTION("""COMPUTED_VALUE"""),136.7)</f>
        <v>136.7</v>
      </c>
      <c r="D1827" s="1">
        <f>IFERROR(__xludf.DUMMYFUNCTION("""COMPUTED_VALUE"""),133.29)</f>
        <v>133.29</v>
      </c>
      <c r="E1827" s="1">
        <f>IFERROR(__xludf.DUMMYFUNCTION("""COMPUTED_VALUE"""),135.1)</f>
        <v>135.1</v>
      </c>
      <c r="F1827" s="1">
        <f>IFERROR(__xludf.DUMMYFUNCTION("""COMPUTED_VALUE"""),55365.0)</f>
        <v>55365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IFERROR(__xludf.DUMMYFUNCTION("""COMPUTED_VALUE"""),135.56)</f>
        <v>135.56</v>
      </c>
      <c r="C1828" s="1">
        <f>IFERROR(__xludf.DUMMYFUNCTION("""COMPUTED_VALUE"""),135.56)</f>
        <v>135.56</v>
      </c>
      <c r="D1828" s="1">
        <f>IFERROR(__xludf.DUMMYFUNCTION("""COMPUTED_VALUE"""),121.2)</f>
        <v>121.2</v>
      </c>
      <c r="E1828" s="1">
        <f>IFERROR(__xludf.DUMMYFUNCTION("""COMPUTED_VALUE"""),133.0)</f>
        <v>133</v>
      </c>
      <c r="F1828" s="1">
        <f>IFERROR(__xludf.DUMMYFUNCTION("""COMPUTED_VALUE"""),91608.0)</f>
        <v>91608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IFERROR(__xludf.DUMMYFUNCTION("""COMPUTED_VALUE"""),132.77)</f>
        <v>132.77</v>
      </c>
      <c r="C1829" s="1">
        <f>IFERROR(__xludf.DUMMYFUNCTION("""COMPUTED_VALUE"""),133.7)</f>
        <v>133.7</v>
      </c>
      <c r="D1829" s="1">
        <f>IFERROR(__xludf.DUMMYFUNCTION("""COMPUTED_VALUE"""),132.03)</f>
        <v>132.03</v>
      </c>
      <c r="E1829" s="1">
        <f>IFERROR(__xludf.DUMMYFUNCTION("""COMPUTED_VALUE"""),132.98)</f>
        <v>132.98</v>
      </c>
      <c r="F1829" s="1">
        <f>IFERROR(__xludf.DUMMYFUNCTION("""COMPUTED_VALUE"""),62951.0)</f>
        <v>62951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IFERROR(__xludf.DUMMYFUNCTION("""COMPUTED_VALUE"""),132.57)</f>
        <v>132.57</v>
      </c>
      <c r="C1830" s="1">
        <f>IFERROR(__xludf.DUMMYFUNCTION("""COMPUTED_VALUE"""),134.35)</f>
        <v>134.35</v>
      </c>
      <c r="D1830" s="1">
        <f>IFERROR(__xludf.DUMMYFUNCTION("""COMPUTED_VALUE"""),132.57)</f>
        <v>132.57</v>
      </c>
      <c r="E1830" s="1">
        <f>IFERROR(__xludf.DUMMYFUNCTION("""COMPUTED_VALUE"""),133.33)</f>
        <v>133.33</v>
      </c>
      <c r="F1830" s="1">
        <f>IFERROR(__xludf.DUMMYFUNCTION("""COMPUTED_VALUE"""),56571.0)</f>
        <v>56571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IFERROR(__xludf.DUMMYFUNCTION("""COMPUTED_VALUE"""),133.84)</f>
        <v>133.84</v>
      </c>
      <c r="C1831" s="1">
        <f>IFERROR(__xludf.DUMMYFUNCTION("""COMPUTED_VALUE"""),134.18)</f>
        <v>134.18</v>
      </c>
      <c r="D1831" s="1">
        <f>IFERROR(__xludf.DUMMYFUNCTION("""COMPUTED_VALUE"""),132.26)</f>
        <v>132.26</v>
      </c>
      <c r="E1831" s="1">
        <f>IFERROR(__xludf.DUMMYFUNCTION("""COMPUTED_VALUE"""),132.6)</f>
        <v>132.6</v>
      </c>
      <c r="F1831" s="1">
        <f>IFERROR(__xludf.DUMMYFUNCTION("""COMPUTED_VALUE"""),38293.0)</f>
        <v>38293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IFERROR(__xludf.DUMMYFUNCTION("""COMPUTED_VALUE"""),132.0)</f>
        <v>132</v>
      </c>
      <c r="C1832" s="1">
        <f>IFERROR(__xludf.DUMMYFUNCTION("""COMPUTED_VALUE"""),133.35)</f>
        <v>133.35</v>
      </c>
      <c r="D1832" s="1">
        <f>IFERROR(__xludf.DUMMYFUNCTION("""COMPUTED_VALUE"""),131.05)</f>
        <v>131.05</v>
      </c>
      <c r="E1832" s="1">
        <f>IFERROR(__xludf.DUMMYFUNCTION("""COMPUTED_VALUE"""),133.32)</f>
        <v>133.32</v>
      </c>
      <c r="F1832" s="1">
        <f>IFERROR(__xludf.DUMMYFUNCTION("""COMPUTED_VALUE"""),49039.0)</f>
        <v>49039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IFERROR(__xludf.DUMMYFUNCTION("""COMPUTED_VALUE"""),133.46)</f>
        <v>133.46</v>
      </c>
      <c r="C1833" s="1">
        <f>IFERROR(__xludf.DUMMYFUNCTION("""COMPUTED_VALUE"""),134.19)</f>
        <v>134.19</v>
      </c>
      <c r="D1833" s="1">
        <f>IFERROR(__xludf.DUMMYFUNCTION("""COMPUTED_VALUE"""),132.94)</f>
        <v>132.94</v>
      </c>
      <c r="E1833" s="1">
        <f>IFERROR(__xludf.DUMMYFUNCTION("""COMPUTED_VALUE"""),133.41)</f>
        <v>133.41</v>
      </c>
      <c r="F1833" s="1">
        <f>IFERROR(__xludf.DUMMYFUNCTION("""COMPUTED_VALUE"""),49747.0)</f>
        <v>49747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IFERROR(__xludf.DUMMYFUNCTION("""COMPUTED_VALUE"""),133.16)</f>
        <v>133.16</v>
      </c>
      <c r="C1834" s="1">
        <f>IFERROR(__xludf.DUMMYFUNCTION("""COMPUTED_VALUE"""),133.49)</f>
        <v>133.49</v>
      </c>
      <c r="D1834" s="1">
        <f>IFERROR(__xludf.DUMMYFUNCTION("""COMPUTED_VALUE"""),132.3)</f>
        <v>132.3</v>
      </c>
      <c r="E1834" s="1">
        <f>IFERROR(__xludf.DUMMYFUNCTION("""COMPUTED_VALUE"""),132.67)</f>
        <v>132.67</v>
      </c>
      <c r="F1834" s="1">
        <f>IFERROR(__xludf.DUMMYFUNCTION("""COMPUTED_VALUE"""),27377.0)</f>
        <v>27377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IFERROR(__xludf.DUMMYFUNCTION("""COMPUTED_VALUE"""),132.22)</f>
        <v>132.22</v>
      </c>
      <c r="C1835" s="1">
        <f>IFERROR(__xludf.DUMMYFUNCTION("""COMPUTED_VALUE"""),134.06)</f>
        <v>134.06</v>
      </c>
      <c r="D1835" s="1">
        <f>IFERROR(__xludf.DUMMYFUNCTION("""COMPUTED_VALUE"""),131.73)</f>
        <v>131.73</v>
      </c>
      <c r="E1835" s="1">
        <f>IFERROR(__xludf.DUMMYFUNCTION("""COMPUTED_VALUE"""),133.9)</f>
        <v>133.9</v>
      </c>
      <c r="F1835" s="1">
        <f>IFERROR(__xludf.DUMMYFUNCTION("""COMPUTED_VALUE"""),48097.0)</f>
        <v>48097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IFERROR(__xludf.DUMMYFUNCTION("""COMPUTED_VALUE"""),133.69)</f>
        <v>133.69</v>
      </c>
      <c r="C1836" s="1">
        <f>IFERROR(__xludf.DUMMYFUNCTION("""COMPUTED_VALUE"""),135.25)</f>
        <v>135.25</v>
      </c>
      <c r="D1836" s="1">
        <f>IFERROR(__xludf.DUMMYFUNCTION("""COMPUTED_VALUE"""),133.69)</f>
        <v>133.69</v>
      </c>
      <c r="E1836" s="1">
        <f>IFERROR(__xludf.DUMMYFUNCTION("""COMPUTED_VALUE"""),135.07)</f>
        <v>135.07</v>
      </c>
      <c r="F1836" s="1">
        <f>IFERROR(__xludf.DUMMYFUNCTION("""COMPUTED_VALUE"""),67136.0)</f>
        <v>67136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IFERROR(__xludf.DUMMYFUNCTION("""COMPUTED_VALUE"""),135.7)</f>
        <v>135.7</v>
      </c>
      <c r="C1837" s="1">
        <f>IFERROR(__xludf.DUMMYFUNCTION("""COMPUTED_VALUE"""),136.83)</f>
        <v>136.83</v>
      </c>
      <c r="D1837" s="1">
        <f>IFERROR(__xludf.DUMMYFUNCTION("""COMPUTED_VALUE"""),134.67)</f>
        <v>134.67</v>
      </c>
      <c r="E1837" s="1">
        <f>IFERROR(__xludf.DUMMYFUNCTION("""COMPUTED_VALUE"""),135.28)</f>
        <v>135.28</v>
      </c>
      <c r="F1837" s="1">
        <f>IFERROR(__xludf.DUMMYFUNCTION("""COMPUTED_VALUE"""),49448.0)</f>
        <v>49448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IFERROR(__xludf.DUMMYFUNCTION("""COMPUTED_VALUE"""),135.69)</f>
        <v>135.69</v>
      </c>
      <c r="C1838" s="1">
        <f>IFERROR(__xludf.DUMMYFUNCTION("""COMPUTED_VALUE"""),138.12)</f>
        <v>138.12</v>
      </c>
      <c r="D1838" s="1">
        <f>IFERROR(__xludf.DUMMYFUNCTION("""COMPUTED_VALUE"""),134.02)</f>
        <v>134.02</v>
      </c>
      <c r="E1838" s="1">
        <f>IFERROR(__xludf.DUMMYFUNCTION("""COMPUTED_VALUE"""),134.35)</f>
        <v>134.35</v>
      </c>
      <c r="F1838" s="1">
        <f>IFERROR(__xludf.DUMMYFUNCTION("""COMPUTED_VALUE"""),87585.0)</f>
        <v>87585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IFERROR(__xludf.DUMMYFUNCTION("""COMPUTED_VALUE"""),134.37)</f>
        <v>134.37</v>
      </c>
      <c r="C1839" s="1">
        <f>IFERROR(__xludf.DUMMYFUNCTION("""COMPUTED_VALUE"""),135.69)</f>
        <v>135.69</v>
      </c>
      <c r="D1839" s="1">
        <f>IFERROR(__xludf.DUMMYFUNCTION("""COMPUTED_VALUE"""),133.35)</f>
        <v>133.35</v>
      </c>
      <c r="E1839" s="1">
        <f>IFERROR(__xludf.DUMMYFUNCTION("""COMPUTED_VALUE"""),134.48)</f>
        <v>134.48</v>
      </c>
      <c r="F1839" s="1">
        <f>IFERROR(__xludf.DUMMYFUNCTION("""COMPUTED_VALUE"""),70289.0)</f>
        <v>70289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IFERROR(__xludf.DUMMYFUNCTION("""COMPUTED_VALUE"""),135.48)</f>
        <v>135.48</v>
      </c>
      <c r="C1840" s="1">
        <f>IFERROR(__xludf.DUMMYFUNCTION("""COMPUTED_VALUE"""),138.67)</f>
        <v>138.67</v>
      </c>
      <c r="D1840" s="1">
        <f>IFERROR(__xludf.DUMMYFUNCTION("""COMPUTED_VALUE"""),134.93)</f>
        <v>134.93</v>
      </c>
      <c r="E1840" s="1">
        <f>IFERROR(__xludf.DUMMYFUNCTION("""COMPUTED_VALUE"""),136.52)</f>
        <v>136.52</v>
      </c>
      <c r="F1840" s="1">
        <f>IFERROR(__xludf.DUMMYFUNCTION("""COMPUTED_VALUE"""),58441.0)</f>
        <v>58441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IFERROR(__xludf.DUMMYFUNCTION("""COMPUTED_VALUE"""),134.5)</f>
        <v>134.5</v>
      </c>
      <c r="C1841" s="1">
        <f>IFERROR(__xludf.DUMMYFUNCTION("""COMPUTED_VALUE"""),139.06)</f>
        <v>139.06</v>
      </c>
      <c r="D1841" s="1">
        <f>IFERROR(__xludf.DUMMYFUNCTION("""COMPUTED_VALUE"""),132.4)</f>
        <v>132.4</v>
      </c>
      <c r="E1841" s="1">
        <f>IFERROR(__xludf.DUMMYFUNCTION("""COMPUTED_VALUE"""),136.26)</f>
        <v>136.26</v>
      </c>
      <c r="F1841" s="1">
        <f>IFERROR(__xludf.DUMMYFUNCTION("""COMPUTED_VALUE"""),108306.0)</f>
        <v>108306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IFERROR(__xludf.DUMMYFUNCTION("""COMPUTED_VALUE"""),136.66)</f>
        <v>136.66</v>
      </c>
      <c r="C1842" s="1">
        <f>IFERROR(__xludf.DUMMYFUNCTION("""COMPUTED_VALUE"""),138.53)</f>
        <v>138.53</v>
      </c>
      <c r="D1842" s="1">
        <f>IFERROR(__xludf.DUMMYFUNCTION("""COMPUTED_VALUE"""),133.77)</f>
        <v>133.77</v>
      </c>
      <c r="E1842" s="1">
        <f>IFERROR(__xludf.DUMMYFUNCTION("""COMPUTED_VALUE"""),134.89)</f>
        <v>134.89</v>
      </c>
      <c r="F1842" s="1">
        <f>IFERROR(__xludf.DUMMYFUNCTION("""COMPUTED_VALUE"""),76335.0)</f>
        <v>76335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IFERROR(__xludf.DUMMYFUNCTION("""COMPUTED_VALUE"""),135.45)</f>
        <v>135.45</v>
      </c>
      <c r="C1843" s="1">
        <f>IFERROR(__xludf.DUMMYFUNCTION("""COMPUTED_VALUE"""),135.59)</f>
        <v>135.59</v>
      </c>
      <c r="D1843" s="1">
        <f>IFERROR(__xludf.DUMMYFUNCTION("""COMPUTED_VALUE"""),133.99)</f>
        <v>133.99</v>
      </c>
      <c r="E1843" s="1">
        <f>IFERROR(__xludf.DUMMYFUNCTION("""COMPUTED_VALUE"""),134.66)</f>
        <v>134.66</v>
      </c>
      <c r="F1843" s="1">
        <f>IFERROR(__xludf.DUMMYFUNCTION("""COMPUTED_VALUE"""),63212.0)</f>
        <v>63212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IFERROR(__xludf.DUMMYFUNCTION("""COMPUTED_VALUE"""),134.26)</f>
        <v>134.26</v>
      </c>
      <c r="C1844" s="1">
        <f>IFERROR(__xludf.DUMMYFUNCTION("""COMPUTED_VALUE"""),135.15)</f>
        <v>135.15</v>
      </c>
      <c r="D1844" s="1">
        <f>IFERROR(__xludf.DUMMYFUNCTION("""COMPUTED_VALUE"""),133.47)</f>
        <v>133.47</v>
      </c>
      <c r="E1844" s="1">
        <f>IFERROR(__xludf.DUMMYFUNCTION("""COMPUTED_VALUE"""),134.58)</f>
        <v>134.58</v>
      </c>
      <c r="F1844" s="1">
        <f>IFERROR(__xludf.DUMMYFUNCTION("""COMPUTED_VALUE"""),77710.0)</f>
        <v>77710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IFERROR(__xludf.DUMMYFUNCTION("""COMPUTED_VALUE"""),134.91)</f>
        <v>134.91</v>
      </c>
      <c r="C1845" s="1">
        <f>IFERROR(__xludf.DUMMYFUNCTION("""COMPUTED_VALUE"""),135.44)</f>
        <v>135.44</v>
      </c>
      <c r="D1845" s="1">
        <f>IFERROR(__xludf.DUMMYFUNCTION("""COMPUTED_VALUE"""),133.1)</f>
        <v>133.1</v>
      </c>
      <c r="E1845" s="1">
        <f>IFERROR(__xludf.DUMMYFUNCTION("""COMPUTED_VALUE"""),133.61)</f>
        <v>133.61</v>
      </c>
      <c r="F1845" s="1">
        <f>IFERROR(__xludf.DUMMYFUNCTION("""COMPUTED_VALUE"""),51564.0)</f>
        <v>51564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IFERROR(__xludf.DUMMYFUNCTION("""COMPUTED_VALUE"""),133.53)</f>
        <v>133.53</v>
      </c>
      <c r="C1846" s="1">
        <f>IFERROR(__xludf.DUMMYFUNCTION("""COMPUTED_VALUE"""),134.11)</f>
        <v>134.11</v>
      </c>
      <c r="D1846" s="1">
        <f>IFERROR(__xludf.DUMMYFUNCTION("""COMPUTED_VALUE"""),130.57)</f>
        <v>130.57</v>
      </c>
      <c r="E1846" s="1">
        <f>IFERROR(__xludf.DUMMYFUNCTION("""COMPUTED_VALUE"""),131.18)</f>
        <v>131.18</v>
      </c>
      <c r="F1846" s="1">
        <f>IFERROR(__xludf.DUMMYFUNCTION("""COMPUTED_VALUE"""),58291.0)</f>
        <v>58291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IFERROR(__xludf.DUMMYFUNCTION("""COMPUTED_VALUE"""),130.99)</f>
        <v>130.99</v>
      </c>
      <c r="C1847" s="1">
        <f>IFERROR(__xludf.DUMMYFUNCTION("""COMPUTED_VALUE"""),131.96)</f>
        <v>131.96</v>
      </c>
      <c r="D1847" s="1">
        <f>IFERROR(__xludf.DUMMYFUNCTION("""COMPUTED_VALUE"""),130.63)</f>
        <v>130.63</v>
      </c>
      <c r="E1847" s="1">
        <f>IFERROR(__xludf.DUMMYFUNCTION("""COMPUTED_VALUE"""),131.19)</f>
        <v>131.19</v>
      </c>
      <c r="F1847" s="1">
        <f>IFERROR(__xludf.DUMMYFUNCTION("""COMPUTED_VALUE"""),41044.0)</f>
        <v>41044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IFERROR(__xludf.DUMMYFUNCTION("""COMPUTED_VALUE"""),131.59)</f>
        <v>131.59</v>
      </c>
      <c r="C1848" s="1">
        <f>IFERROR(__xludf.DUMMYFUNCTION("""COMPUTED_VALUE"""),132.19)</f>
        <v>132.19</v>
      </c>
      <c r="D1848" s="1">
        <f>IFERROR(__xludf.DUMMYFUNCTION("""COMPUTED_VALUE"""),130.72)</f>
        <v>130.72</v>
      </c>
      <c r="E1848" s="1">
        <f>IFERROR(__xludf.DUMMYFUNCTION("""COMPUTED_VALUE"""),131.85)</f>
        <v>131.85</v>
      </c>
      <c r="F1848" s="1">
        <f>IFERROR(__xludf.DUMMYFUNCTION("""COMPUTED_VALUE"""),31779.0)</f>
        <v>31779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IFERROR(__xludf.DUMMYFUNCTION("""COMPUTED_VALUE"""),131.98)</f>
        <v>131.98</v>
      </c>
      <c r="C1849" s="1">
        <f>IFERROR(__xludf.DUMMYFUNCTION("""COMPUTED_VALUE"""),132.35)</f>
        <v>132.35</v>
      </c>
      <c r="D1849" s="1">
        <f>IFERROR(__xludf.DUMMYFUNCTION("""COMPUTED_VALUE"""),130.88)</f>
        <v>130.88</v>
      </c>
      <c r="E1849" s="1">
        <f>IFERROR(__xludf.DUMMYFUNCTION("""COMPUTED_VALUE"""),131.27)</f>
        <v>131.27</v>
      </c>
      <c r="F1849" s="1">
        <f>IFERROR(__xludf.DUMMYFUNCTION("""COMPUTED_VALUE"""),39319.0)</f>
        <v>39319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IFERROR(__xludf.DUMMYFUNCTION("""COMPUTED_VALUE"""),131.28)</f>
        <v>131.28</v>
      </c>
      <c r="C1850" s="1">
        <f>IFERROR(__xludf.DUMMYFUNCTION("""COMPUTED_VALUE"""),132.48)</f>
        <v>132.48</v>
      </c>
      <c r="D1850" s="1">
        <f>IFERROR(__xludf.DUMMYFUNCTION("""COMPUTED_VALUE"""),130.61)</f>
        <v>130.61</v>
      </c>
      <c r="E1850" s="1">
        <f>IFERROR(__xludf.DUMMYFUNCTION("""COMPUTED_VALUE"""),131.34)</f>
        <v>131.34</v>
      </c>
      <c r="F1850" s="1">
        <f>IFERROR(__xludf.DUMMYFUNCTION("""COMPUTED_VALUE"""),46784.0)</f>
        <v>46784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IFERROR(__xludf.DUMMYFUNCTION("""COMPUTED_VALUE"""),132.93)</f>
        <v>132.93</v>
      </c>
      <c r="C1851" s="1">
        <f>IFERROR(__xludf.DUMMYFUNCTION("""COMPUTED_VALUE"""),132.93)</f>
        <v>132.93</v>
      </c>
      <c r="D1851" s="1">
        <f>IFERROR(__xludf.DUMMYFUNCTION("""COMPUTED_VALUE"""),130.3)</f>
        <v>130.3</v>
      </c>
      <c r="E1851" s="1">
        <f>IFERROR(__xludf.DUMMYFUNCTION("""COMPUTED_VALUE"""),131.0)</f>
        <v>131</v>
      </c>
      <c r="F1851" s="1">
        <f>IFERROR(__xludf.DUMMYFUNCTION("""COMPUTED_VALUE"""),39807.0)</f>
        <v>39807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IFERROR(__xludf.DUMMYFUNCTION("""COMPUTED_VALUE"""),131.55)</f>
        <v>131.55</v>
      </c>
      <c r="C1852" s="1">
        <f>IFERROR(__xludf.DUMMYFUNCTION("""COMPUTED_VALUE"""),133.01)</f>
        <v>133.01</v>
      </c>
      <c r="D1852" s="1">
        <f>IFERROR(__xludf.DUMMYFUNCTION("""COMPUTED_VALUE"""),131.11)</f>
        <v>131.11</v>
      </c>
      <c r="E1852" s="1">
        <f>IFERROR(__xludf.DUMMYFUNCTION("""COMPUTED_VALUE"""),132.55)</f>
        <v>132.55</v>
      </c>
      <c r="F1852" s="1">
        <f>IFERROR(__xludf.DUMMYFUNCTION("""COMPUTED_VALUE"""),34215.0)</f>
        <v>34215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IFERROR(__xludf.DUMMYFUNCTION("""COMPUTED_VALUE"""),132.29)</f>
        <v>132.29</v>
      </c>
      <c r="C1853" s="1">
        <f>IFERROR(__xludf.DUMMYFUNCTION("""COMPUTED_VALUE"""),133.51)</f>
        <v>133.51</v>
      </c>
      <c r="D1853" s="1">
        <f>IFERROR(__xludf.DUMMYFUNCTION("""COMPUTED_VALUE"""),130.85)</f>
        <v>130.85</v>
      </c>
      <c r="E1853" s="1">
        <f>IFERROR(__xludf.DUMMYFUNCTION("""COMPUTED_VALUE"""),132.04)</f>
        <v>132.04</v>
      </c>
      <c r="F1853" s="1">
        <f>IFERROR(__xludf.DUMMYFUNCTION("""COMPUTED_VALUE"""),44988.0)</f>
        <v>44988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IFERROR(__xludf.DUMMYFUNCTION("""COMPUTED_VALUE"""),131.39)</f>
        <v>131.39</v>
      </c>
      <c r="C1854" s="1">
        <f>IFERROR(__xludf.DUMMYFUNCTION("""COMPUTED_VALUE"""),133.38)</f>
        <v>133.38</v>
      </c>
      <c r="D1854" s="1">
        <f>IFERROR(__xludf.DUMMYFUNCTION("""COMPUTED_VALUE"""),131.39)</f>
        <v>131.39</v>
      </c>
      <c r="E1854" s="1">
        <f>IFERROR(__xludf.DUMMYFUNCTION("""COMPUTED_VALUE"""),132.04)</f>
        <v>132.04</v>
      </c>
      <c r="F1854" s="1">
        <f>IFERROR(__xludf.DUMMYFUNCTION("""COMPUTED_VALUE"""),38790.0)</f>
        <v>38790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IFERROR(__xludf.DUMMYFUNCTION("""COMPUTED_VALUE"""),131.76)</f>
        <v>131.76</v>
      </c>
      <c r="C1855" s="1">
        <f>IFERROR(__xludf.DUMMYFUNCTION("""COMPUTED_VALUE"""),132.79)</f>
        <v>132.79</v>
      </c>
      <c r="D1855" s="1">
        <f>IFERROR(__xludf.DUMMYFUNCTION("""COMPUTED_VALUE"""),130.5)</f>
        <v>130.5</v>
      </c>
      <c r="E1855" s="1">
        <f>IFERROR(__xludf.DUMMYFUNCTION("""COMPUTED_VALUE"""),131.96)</f>
        <v>131.96</v>
      </c>
      <c r="F1855" s="1">
        <f>IFERROR(__xludf.DUMMYFUNCTION("""COMPUTED_VALUE"""),33229.0)</f>
        <v>33229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IFERROR(__xludf.DUMMYFUNCTION("""COMPUTED_VALUE"""),131.61)</f>
        <v>131.61</v>
      </c>
      <c r="C1856" s="1">
        <f>IFERROR(__xludf.DUMMYFUNCTION("""COMPUTED_VALUE"""),132.25)</f>
        <v>132.25</v>
      </c>
      <c r="D1856" s="1">
        <f>IFERROR(__xludf.DUMMYFUNCTION("""COMPUTED_VALUE"""),131.03)</f>
        <v>131.03</v>
      </c>
      <c r="E1856" s="1">
        <f>IFERROR(__xludf.DUMMYFUNCTION("""COMPUTED_VALUE"""),131.39)</f>
        <v>131.39</v>
      </c>
      <c r="F1856" s="1">
        <f>IFERROR(__xludf.DUMMYFUNCTION("""COMPUTED_VALUE"""),37918.0)</f>
        <v>37918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IFERROR(__xludf.DUMMYFUNCTION("""COMPUTED_VALUE"""),130.75)</f>
        <v>130.75</v>
      </c>
      <c r="C1857" s="1">
        <f>IFERROR(__xludf.DUMMYFUNCTION("""COMPUTED_VALUE"""),134.23)</f>
        <v>134.23</v>
      </c>
      <c r="D1857" s="1">
        <f>IFERROR(__xludf.DUMMYFUNCTION("""COMPUTED_VALUE"""),130.75)</f>
        <v>130.75</v>
      </c>
      <c r="E1857" s="1">
        <f>IFERROR(__xludf.DUMMYFUNCTION("""COMPUTED_VALUE"""),132.99)</f>
        <v>132.99</v>
      </c>
      <c r="F1857" s="1">
        <f>IFERROR(__xludf.DUMMYFUNCTION("""COMPUTED_VALUE"""),107699.0)</f>
        <v>107699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IFERROR(__xludf.DUMMYFUNCTION("""COMPUTED_VALUE"""),133.18)</f>
        <v>133.18</v>
      </c>
      <c r="C1858" s="1">
        <f>IFERROR(__xludf.DUMMYFUNCTION("""COMPUTED_VALUE"""),134.0)</f>
        <v>134</v>
      </c>
      <c r="D1858" s="1">
        <f>IFERROR(__xludf.DUMMYFUNCTION("""COMPUTED_VALUE"""),131.5)</f>
        <v>131.5</v>
      </c>
      <c r="E1858" s="1">
        <f>IFERROR(__xludf.DUMMYFUNCTION("""COMPUTED_VALUE"""),132.48)</f>
        <v>132.48</v>
      </c>
      <c r="F1858" s="1">
        <f>IFERROR(__xludf.DUMMYFUNCTION("""COMPUTED_VALUE"""),64005.0)</f>
        <v>64005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IFERROR(__xludf.DUMMYFUNCTION("""COMPUTED_VALUE"""),132.89)</f>
        <v>132.89</v>
      </c>
      <c r="C1859" s="1">
        <f>IFERROR(__xludf.DUMMYFUNCTION("""COMPUTED_VALUE"""),132.91)</f>
        <v>132.91</v>
      </c>
      <c r="D1859" s="1">
        <f>IFERROR(__xludf.DUMMYFUNCTION("""COMPUTED_VALUE"""),130.21)</f>
        <v>130.21</v>
      </c>
      <c r="E1859" s="1">
        <f>IFERROR(__xludf.DUMMYFUNCTION("""COMPUTED_VALUE"""),130.75)</f>
        <v>130.75</v>
      </c>
      <c r="F1859" s="1">
        <f>IFERROR(__xludf.DUMMYFUNCTION("""COMPUTED_VALUE"""),83716.0)</f>
        <v>83716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IFERROR(__xludf.DUMMYFUNCTION("""COMPUTED_VALUE"""),131.0)</f>
        <v>131</v>
      </c>
      <c r="C1860" s="1">
        <f>IFERROR(__xludf.DUMMYFUNCTION("""COMPUTED_VALUE"""),134.9)</f>
        <v>134.9</v>
      </c>
      <c r="D1860" s="1">
        <f>IFERROR(__xludf.DUMMYFUNCTION("""COMPUTED_VALUE"""),130.05)</f>
        <v>130.05</v>
      </c>
      <c r="E1860" s="1">
        <f>IFERROR(__xludf.DUMMYFUNCTION("""COMPUTED_VALUE"""),133.49)</f>
        <v>133.49</v>
      </c>
      <c r="F1860" s="1">
        <f>IFERROR(__xludf.DUMMYFUNCTION("""COMPUTED_VALUE"""),77101.0)</f>
        <v>77101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IFERROR(__xludf.DUMMYFUNCTION("""COMPUTED_VALUE"""),133.73)</f>
        <v>133.73</v>
      </c>
      <c r="C1861" s="1">
        <f>IFERROR(__xludf.DUMMYFUNCTION("""COMPUTED_VALUE"""),133.76)</f>
        <v>133.76</v>
      </c>
      <c r="D1861" s="1">
        <f>IFERROR(__xludf.DUMMYFUNCTION("""COMPUTED_VALUE"""),130.76)</f>
        <v>130.76</v>
      </c>
      <c r="E1861" s="1">
        <f>IFERROR(__xludf.DUMMYFUNCTION("""COMPUTED_VALUE"""),133.07)</f>
        <v>133.07</v>
      </c>
      <c r="F1861" s="1">
        <f>IFERROR(__xludf.DUMMYFUNCTION("""COMPUTED_VALUE"""),51760.0)</f>
        <v>51760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IFERROR(__xludf.DUMMYFUNCTION("""COMPUTED_VALUE"""),133.66)</f>
        <v>133.66</v>
      </c>
      <c r="C1862" s="1">
        <f>IFERROR(__xludf.DUMMYFUNCTION("""COMPUTED_VALUE"""),134.0)</f>
        <v>134</v>
      </c>
      <c r="D1862" s="1">
        <f>IFERROR(__xludf.DUMMYFUNCTION("""COMPUTED_VALUE"""),132.44)</f>
        <v>132.44</v>
      </c>
      <c r="E1862" s="1">
        <f>IFERROR(__xludf.DUMMYFUNCTION("""COMPUTED_VALUE"""),132.76)</f>
        <v>132.76</v>
      </c>
      <c r="F1862" s="1">
        <f>IFERROR(__xludf.DUMMYFUNCTION("""COMPUTED_VALUE"""),36898.0)</f>
        <v>36898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IFERROR(__xludf.DUMMYFUNCTION("""COMPUTED_VALUE"""),132.43)</f>
        <v>132.43</v>
      </c>
      <c r="C1863" s="1">
        <f>IFERROR(__xludf.DUMMYFUNCTION("""COMPUTED_VALUE"""),133.92)</f>
        <v>133.92</v>
      </c>
      <c r="D1863" s="1">
        <f>IFERROR(__xludf.DUMMYFUNCTION("""COMPUTED_VALUE"""),132.43)</f>
        <v>132.43</v>
      </c>
      <c r="E1863" s="1">
        <f>IFERROR(__xludf.DUMMYFUNCTION("""COMPUTED_VALUE"""),132.74)</f>
        <v>132.74</v>
      </c>
      <c r="F1863" s="1">
        <f>IFERROR(__xludf.DUMMYFUNCTION("""COMPUTED_VALUE"""),48604.0)</f>
        <v>48604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IFERROR(__xludf.DUMMYFUNCTION("""COMPUTED_VALUE"""),132.14)</f>
        <v>132.14</v>
      </c>
      <c r="C1864" s="1">
        <f>IFERROR(__xludf.DUMMYFUNCTION("""COMPUTED_VALUE"""),134.28)</f>
        <v>134.28</v>
      </c>
      <c r="D1864" s="1">
        <f>IFERROR(__xludf.DUMMYFUNCTION("""COMPUTED_VALUE"""),129.6)</f>
        <v>129.6</v>
      </c>
      <c r="E1864" s="1">
        <f>IFERROR(__xludf.DUMMYFUNCTION("""COMPUTED_VALUE"""),131.39)</f>
        <v>131.39</v>
      </c>
      <c r="F1864" s="1">
        <f>IFERROR(__xludf.DUMMYFUNCTION("""COMPUTED_VALUE"""),72825.0)</f>
        <v>72825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IFERROR(__xludf.DUMMYFUNCTION("""COMPUTED_VALUE"""),130.75)</f>
        <v>130.75</v>
      </c>
      <c r="C1865" s="1">
        <f>IFERROR(__xludf.DUMMYFUNCTION("""COMPUTED_VALUE"""),132.15)</f>
        <v>132.15</v>
      </c>
      <c r="D1865" s="1">
        <f>IFERROR(__xludf.DUMMYFUNCTION("""COMPUTED_VALUE"""),129.67)</f>
        <v>129.67</v>
      </c>
      <c r="E1865" s="1">
        <f>IFERROR(__xludf.DUMMYFUNCTION("""COMPUTED_VALUE"""),130.29)</f>
        <v>130.29</v>
      </c>
      <c r="F1865" s="1">
        <f>IFERROR(__xludf.DUMMYFUNCTION("""COMPUTED_VALUE"""),61537.0)</f>
        <v>61537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IFERROR(__xludf.DUMMYFUNCTION("""COMPUTED_VALUE"""),130.5)</f>
        <v>130.5</v>
      </c>
      <c r="C1866" s="1">
        <f>IFERROR(__xludf.DUMMYFUNCTION("""COMPUTED_VALUE"""),132.78)</f>
        <v>132.78</v>
      </c>
      <c r="D1866" s="1">
        <f>IFERROR(__xludf.DUMMYFUNCTION("""COMPUTED_VALUE"""),129.35)</f>
        <v>129.35</v>
      </c>
      <c r="E1866" s="1">
        <f>IFERROR(__xludf.DUMMYFUNCTION("""COMPUTED_VALUE"""),130.1)</f>
        <v>130.1</v>
      </c>
      <c r="F1866" s="1">
        <f>IFERROR(__xludf.DUMMYFUNCTION("""COMPUTED_VALUE"""),146353.0)</f>
        <v>146353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IFERROR(__xludf.DUMMYFUNCTION("""COMPUTED_VALUE"""),130.84)</f>
        <v>130.84</v>
      </c>
      <c r="C1867" s="1">
        <f>IFERROR(__xludf.DUMMYFUNCTION("""COMPUTED_VALUE"""),133.59)</f>
        <v>133.59</v>
      </c>
      <c r="D1867" s="1">
        <f>IFERROR(__xludf.DUMMYFUNCTION("""COMPUTED_VALUE"""),130.06)</f>
        <v>130.06</v>
      </c>
      <c r="E1867" s="1">
        <f>IFERROR(__xludf.DUMMYFUNCTION("""COMPUTED_VALUE"""),133.54)</f>
        <v>133.54</v>
      </c>
      <c r="F1867" s="1">
        <f>IFERROR(__xludf.DUMMYFUNCTION("""COMPUTED_VALUE"""),84699.0)</f>
        <v>84699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IFERROR(__xludf.DUMMYFUNCTION("""COMPUTED_VALUE"""),134.14)</f>
        <v>134.14</v>
      </c>
      <c r="C1868" s="1">
        <f>IFERROR(__xludf.DUMMYFUNCTION("""COMPUTED_VALUE"""),136.38)</f>
        <v>136.38</v>
      </c>
      <c r="D1868" s="1">
        <f>IFERROR(__xludf.DUMMYFUNCTION("""COMPUTED_VALUE"""),133.72)</f>
        <v>133.72</v>
      </c>
      <c r="E1868" s="1">
        <f>IFERROR(__xludf.DUMMYFUNCTION("""COMPUTED_VALUE"""),135.65)</f>
        <v>135.65</v>
      </c>
      <c r="F1868" s="1">
        <f>IFERROR(__xludf.DUMMYFUNCTION("""COMPUTED_VALUE"""),67201.0)</f>
        <v>67201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IFERROR(__xludf.DUMMYFUNCTION("""COMPUTED_VALUE"""),135.41)</f>
        <v>135.41</v>
      </c>
      <c r="C1869" s="1">
        <f>IFERROR(__xludf.DUMMYFUNCTION("""COMPUTED_VALUE"""),136.22)</f>
        <v>136.22</v>
      </c>
      <c r="D1869" s="1">
        <f>IFERROR(__xludf.DUMMYFUNCTION("""COMPUTED_VALUE"""),134.19)</f>
        <v>134.19</v>
      </c>
      <c r="E1869" s="1">
        <f>IFERROR(__xludf.DUMMYFUNCTION("""COMPUTED_VALUE"""),134.6)</f>
        <v>134.6</v>
      </c>
      <c r="F1869" s="1">
        <f>IFERROR(__xludf.DUMMYFUNCTION("""COMPUTED_VALUE"""),42546.0)</f>
        <v>42546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IFERROR(__xludf.DUMMYFUNCTION("""COMPUTED_VALUE"""),134.27)</f>
        <v>134.27</v>
      </c>
      <c r="C1870" s="1">
        <f>IFERROR(__xludf.DUMMYFUNCTION("""COMPUTED_VALUE"""),134.79)</f>
        <v>134.79</v>
      </c>
      <c r="D1870" s="1">
        <f>IFERROR(__xludf.DUMMYFUNCTION("""COMPUTED_VALUE"""),132.66)</f>
        <v>132.66</v>
      </c>
      <c r="E1870" s="1">
        <f>IFERROR(__xludf.DUMMYFUNCTION("""COMPUTED_VALUE"""),133.63)</f>
        <v>133.63</v>
      </c>
      <c r="F1870" s="1">
        <f>IFERROR(__xludf.DUMMYFUNCTION("""COMPUTED_VALUE"""),40273.0)</f>
        <v>40273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IFERROR(__xludf.DUMMYFUNCTION("""COMPUTED_VALUE"""),133.35)</f>
        <v>133.35</v>
      </c>
      <c r="C1871" s="1">
        <f>IFERROR(__xludf.DUMMYFUNCTION("""COMPUTED_VALUE"""),134.2)</f>
        <v>134.2</v>
      </c>
      <c r="D1871" s="1">
        <f>IFERROR(__xludf.DUMMYFUNCTION("""COMPUTED_VALUE"""),132.6)</f>
        <v>132.6</v>
      </c>
      <c r="E1871" s="1">
        <f>IFERROR(__xludf.DUMMYFUNCTION("""COMPUTED_VALUE"""),134.08)</f>
        <v>134.08</v>
      </c>
      <c r="F1871" s="1">
        <f>IFERROR(__xludf.DUMMYFUNCTION("""COMPUTED_VALUE"""),44703.0)</f>
        <v>44703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IFERROR(__xludf.DUMMYFUNCTION("""COMPUTED_VALUE"""),134.27)</f>
        <v>134.27</v>
      </c>
      <c r="C1872" s="1">
        <f>IFERROR(__xludf.DUMMYFUNCTION("""COMPUTED_VALUE"""),134.95)</f>
        <v>134.95</v>
      </c>
      <c r="D1872" s="1">
        <f>IFERROR(__xludf.DUMMYFUNCTION("""COMPUTED_VALUE"""),130.34)</f>
        <v>130.34</v>
      </c>
      <c r="E1872" s="1">
        <f>IFERROR(__xludf.DUMMYFUNCTION("""COMPUTED_VALUE"""),132.91)</f>
        <v>132.91</v>
      </c>
      <c r="F1872" s="1">
        <f>IFERROR(__xludf.DUMMYFUNCTION("""COMPUTED_VALUE"""),81101.0)</f>
        <v>81101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IFERROR(__xludf.DUMMYFUNCTION("""COMPUTED_VALUE"""),133.06)</f>
        <v>133.06</v>
      </c>
      <c r="C1873" s="1">
        <f>IFERROR(__xludf.DUMMYFUNCTION("""COMPUTED_VALUE"""),134.96)</f>
        <v>134.96</v>
      </c>
      <c r="D1873" s="1">
        <f>IFERROR(__xludf.DUMMYFUNCTION("""COMPUTED_VALUE"""),131.35)</f>
        <v>131.35</v>
      </c>
      <c r="E1873" s="1">
        <f>IFERROR(__xludf.DUMMYFUNCTION("""COMPUTED_VALUE"""),134.83)</f>
        <v>134.83</v>
      </c>
      <c r="F1873" s="1">
        <f>IFERROR(__xludf.DUMMYFUNCTION("""COMPUTED_VALUE"""),64762.0)</f>
        <v>64762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IFERROR(__xludf.DUMMYFUNCTION("""COMPUTED_VALUE"""),134.84)</f>
        <v>134.84</v>
      </c>
      <c r="C1874" s="1">
        <f>IFERROR(__xludf.DUMMYFUNCTION("""COMPUTED_VALUE"""),136.6)</f>
        <v>136.6</v>
      </c>
      <c r="D1874" s="1">
        <f>IFERROR(__xludf.DUMMYFUNCTION("""COMPUTED_VALUE"""),134.66)</f>
        <v>134.66</v>
      </c>
      <c r="E1874" s="1">
        <f>IFERROR(__xludf.DUMMYFUNCTION("""COMPUTED_VALUE"""),135.77)</f>
        <v>135.77</v>
      </c>
      <c r="F1874" s="1">
        <f>IFERROR(__xludf.DUMMYFUNCTION("""COMPUTED_VALUE"""),67883.0)</f>
        <v>67883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IFERROR(__xludf.DUMMYFUNCTION("""COMPUTED_VALUE"""),135.53)</f>
        <v>135.53</v>
      </c>
      <c r="C1875" s="1">
        <f>IFERROR(__xludf.DUMMYFUNCTION("""COMPUTED_VALUE"""),136.89)</f>
        <v>136.89</v>
      </c>
      <c r="D1875" s="1">
        <f>IFERROR(__xludf.DUMMYFUNCTION("""COMPUTED_VALUE"""),134.41)</f>
        <v>134.41</v>
      </c>
      <c r="E1875" s="1">
        <f>IFERROR(__xludf.DUMMYFUNCTION("""COMPUTED_VALUE"""),136.51)</f>
        <v>136.51</v>
      </c>
      <c r="F1875" s="1">
        <f>IFERROR(__xludf.DUMMYFUNCTION("""COMPUTED_VALUE"""),57761.0)</f>
        <v>57761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IFERROR(__xludf.DUMMYFUNCTION("""COMPUTED_VALUE"""),136.29)</f>
        <v>136.29</v>
      </c>
      <c r="C1876" s="1">
        <f>IFERROR(__xludf.DUMMYFUNCTION("""COMPUTED_VALUE"""),137.71)</f>
        <v>137.71</v>
      </c>
      <c r="D1876" s="1">
        <f>IFERROR(__xludf.DUMMYFUNCTION("""COMPUTED_VALUE"""),135.66)</f>
        <v>135.66</v>
      </c>
      <c r="E1876" s="1">
        <f>IFERROR(__xludf.DUMMYFUNCTION("""COMPUTED_VALUE"""),137.0)</f>
        <v>137</v>
      </c>
      <c r="F1876" s="1">
        <f>IFERROR(__xludf.DUMMYFUNCTION("""COMPUTED_VALUE"""),60535.0)</f>
        <v>60535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IFERROR(__xludf.DUMMYFUNCTION("""COMPUTED_VALUE"""),136.03)</f>
        <v>136.03</v>
      </c>
      <c r="C1877" s="1">
        <f>IFERROR(__xludf.DUMMYFUNCTION("""COMPUTED_VALUE"""),137.11)</f>
        <v>137.11</v>
      </c>
      <c r="D1877" s="1">
        <f>IFERROR(__xludf.DUMMYFUNCTION("""COMPUTED_VALUE"""),135.57)</f>
        <v>135.57</v>
      </c>
      <c r="E1877" s="1">
        <f>IFERROR(__xludf.DUMMYFUNCTION("""COMPUTED_VALUE"""),136.94)</f>
        <v>136.94</v>
      </c>
      <c r="F1877" s="1">
        <f>IFERROR(__xludf.DUMMYFUNCTION("""COMPUTED_VALUE"""),43027.0)</f>
        <v>43027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IFERROR(__xludf.DUMMYFUNCTION("""COMPUTED_VALUE"""),136.05)</f>
        <v>136.05</v>
      </c>
      <c r="C1878" s="1">
        <f>IFERROR(__xludf.DUMMYFUNCTION("""COMPUTED_VALUE"""),137.73)</f>
        <v>137.73</v>
      </c>
      <c r="D1878" s="1">
        <f>IFERROR(__xludf.DUMMYFUNCTION("""COMPUTED_VALUE"""),132.77)</f>
        <v>132.77</v>
      </c>
      <c r="E1878" s="1">
        <f>IFERROR(__xludf.DUMMYFUNCTION("""COMPUTED_VALUE"""),133.57)</f>
        <v>133.57</v>
      </c>
      <c r="F1878" s="1">
        <f>IFERROR(__xludf.DUMMYFUNCTION("""COMPUTED_VALUE"""),120737.0)</f>
        <v>120737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IFERROR(__xludf.DUMMYFUNCTION("""COMPUTED_VALUE"""),133.55)</f>
        <v>133.55</v>
      </c>
      <c r="C1879" s="1">
        <f>IFERROR(__xludf.DUMMYFUNCTION("""COMPUTED_VALUE"""),134.34)</f>
        <v>134.34</v>
      </c>
      <c r="D1879" s="1">
        <f>IFERROR(__xludf.DUMMYFUNCTION("""COMPUTED_VALUE"""),133.06)</f>
        <v>133.06</v>
      </c>
      <c r="E1879" s="1">
        <f>IFERROR(__xludf.DUMMYFUNCTION("""COMPUTED_VALUE"""),134.24)</f>
        <v>134.24</v>
      </c>
      <c r="F1879" s="1">
        <f>IFERROR(__xludf.DUMMYFUNCTION("""COMPUTED_VALUE"""),38783.0)</f>
        <v>38783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IFERROR(__xludf.DUMMYFUNCTION("""COMPUTED_VALUE"""),134.01)</f>
        <v>134.01</v>
      </c>
      <c r="C1880" s="1">
        <f>IFERROR(__xludf.DUMMYFUNCTION("""COMPUTED_VALUE"""),134.18)</f>
        <v>134.18</v>
      </c>
      <c r="D1880" s="1">
        <f>IFERROR(__xludf.DUMMYFUNCTION("""COMPUTED_VALUE"""),132.88)</f>
        <v>132.88</v>
      </c>
      <c r="E1880" s="1">
        <f>IFERROR(__xludf.DUMMYFUNCTION("""COMPUTED_VALUE"""),133.57)</f>
        <v>133.57</v>
      </c>
      <c r="F1880" s="1">
        <f>IFERROR(__xludf.DUMMYFUNCTION("""COMPUTED_VALUE"""),44127.0)</f>
        <v>44127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IFERROR(__xludf.DUMMYFUNCTION("""COMPUTED_VALUE"""),133.81)</f>
        <v>133.81</v>
      </c>
      <c r="C1881" s="1">
        <f>IFERROR(__xludf.DUMMYFUNCTION("""COMPUTED_VALUE"""),134.38)</f>
        <v>134.38</v>
      </c>
      <c r="D1881" s="1">
        <f>IFERROR(__xludf.DUMMYFUNCTION("""COMPUTED_VALUE"""),132.75)</f>
        <v>132.75</v>
      </c>
      <c r="E1881" s="1">
        <f>IFERROR(__xludf.DUMMYFUNCTION("""COMPUTED_VALUE"""),132.93)</f>
        <v>132.93</v>
      </c>
      <c r="F1881" s="1">
        <f>IFERROR(__xludf.DUMMYFUNCTION("""COMPUTED_VALUE"""),36454.0)</f>
        <v>36454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IFERROR(__xludf.DUMMYFUNCTION("""COMPUTED_VALUE"""),132.82)</f>
        <v>132.82</v>
      </c>
      <c r="C1882" s="1">
        <f>IFERROR(__xludf.DUMMYFUNCTION("""COMPUTED_VALUE"""),133.7)</f>
        <v>133.7</v>
      </c>
      <c r="D1882" s="1">
        <f>IFERROR(__xludf.DUMMYFUNCTION("""COMPUTED_VALUE"""),131.85)</f>
        <v>131.85</v>
      </c>
      <c r="E1882" s="1">
        <f>IFERROR(__xludf.DUMMYFUNCTION("""COMPUTED_VALUE"""),132.61)</f>
        <v>132.61</v>
      </c>
      <c r="F1882" s="1">
        <f>IFERROR(__xludf.DUMMYFUNCTION("""COMPUTED_VALUE"""),69649.0)</f>
        <v>69649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IFERROR(__xludf.DUMMYFUNCTION("""COMPUTED_VALUE"""),133.13)</f>
        <v>133.13</v>
      </c>
      <c r="C1883" s="1">
        <f>IFERROR(__xludf.DUMMYFUNCTION("""COMPUTED_VALUE"""),134.15)</f>
        <v>134.15</v>
      </c>
      <c r="D1883" s="1">
        <f>IFERROR(__xludf.DUMMYFUNCTION("""COMPUTED_VALUE"""),132.56)</f>
        <v>132.56</v>
      </c>
      <c r="E1883" s="1">
        <f>IFERROR(__xludf.DUMMYFUNCTION("""COMPUTED_VALUE"""),133.37)</f>
        <v>133.37</v>
      </c>
      <c r="F1883" s="1">
        <f>IFERROR(__xludf.DUMMYFUNCTION("""COMPUTED_VALUE"""),110181.0)</f>
        <v>110181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IFERROR(__xludf.DUMMYFUNCTION("""COMPUTED_VALUE"""),134.03)</f>
        <v>134.03</v>
      </c>
      <c r="C1884" s="1">
        <f>IFERROR(__xludf.DUMMYFUNCTION("""COMPUTED_VALUE"""),134.74)</f>
        <v>134.74</v>
      </c>
      <c r="D1884" s="1">
        <f>IFERROR(__xludf.DUMMYFUNCTION("""COMPUTED_VALUE"""),131.87)</f>
        <v>131.87</v>
      </c>
      <c r="E1884" s="1">
        <f>IFERROR(__xludf.DUMMYFUNCTION("""COMPUTED_VALUE"""),133.15)</f>
        <v>133.15</v>
      </c>
      <c r="F1884" s="1">
        <f>IFERROR(__xludf.DUMMYFUNCTION("""COMPUTED_VALUE"""),40607.0)</f>
        <v>40607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IFERROR(__xludf.DUMMYFUNCTION("""COMPUTED_VALUE"""),133.01)</f>
        <v>133.01</v>
      </c>
      <c r="C1885" s="1">
        <f>IFERROR(__xludf.DUMMYFUNCTION("""COMPUTED_VALUE"""),133.3)</f>
        <v>133.3</v>
      </c>
      <c r="D1885" s="1">
        <f>IFERROR(__xludf.DUMMYFUNCTION("""COMPUTED_VALUE"""),130.94)</f>
        <v>130.94</v>
      </c>
      <c r="E1885" s="1">
        <f>IFERROR(__xludf.DUMMYFUNCTION("""COMPUTED_VALUE"""),131.27)</f>
        <v>131.27</v>
      </c>
      <c r="F1885" s="1">
        <f>IFERROR(__xludf.DUMMYFUNCTION("""COMPUTED_VALUE"""),45603.0)</f>
        <v>45603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IFERROR(__xludf.DUMMYFUNCTION("""COMPUTED_VALUE"""),131.72)</f>
        <v>131.72</v>
      </c>
      <c r="C1886" s="1">
        <f>IFERROR(__xludf.DUMMYFUNCTION("""COMPUTED_VALUE"""),134.0)</f>
        <v>134</v>
      </c>
      <c r="D1886" s="1">
        <f>IFERROR(__xludf.DUMMYFUNCTION("""COMPUTED_VALUE"""),130.85)</f>
        <v>130.85</v>
      </c>
      <c r="E1886" s="1">
        <f>IFERROR(__xludf.DUMMYFUNCTION("""COMPUTED_VALUE"""),132.52)</f>
        <v>132.52</v>
      </c>
      <c r="F1886" s="1">
        <f>IFERROR(__xludf.DUMMYFUNCTION("""COMPUTED_VALUE"""),63732.0)</f>
        <v>63732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IFERROR(__xludf.DUMMYFUNCTION("""COMPUTED_VALUE"""),132.61)</f>
        <v>132.61</v>
      </c>
      <c r="C1887" s="1">
        <f>IFERROR(__xludf.DUMMYFUNCTION("""COMPUTED_VALUE"""),132.91)</f>
        <v>132.91</v>
      </c>
      <c r="D1887" s="1">
        <f>IFERROR(__xludf.DUMMYFUNCTION("""COMPUTED_VALUE"""),130.67)</f>
        <v>130.67</v>
      </c>
      <c r="E1887" s="1">
        <f>IFERROR(__xludf.DUMMYFUNCTION("""COMPUTED_VALUE"""),131.81)</f>
        <v>131.81</v>
      </c>
      <c r="F1887" s="1">
        <f>IFERROR(__xludf.DUMMYFUNCTION("""COMPUTED_VALUE"""),46837.0)</f>
        <v>46837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IFERROR(__xludf.DUMMYFUNCTION("""COMPUTED_VALUE"""),131.82)</f>
        <v>131.82</v>
      </c>
      <c r="C1888" s="1">
        <f>IFERROR(__xludf.DUMMYFUNCTION("""COMPUTED_VALUE"""),133.51)</f>
        <v>133.51</v>
      </c>
      <c r="D1888" s="1">
        <f>IFERROR(__xludf.DUMMYFUNCTION("""COMPUTED_VALUE"""),131.36)</f>
        <v>131.36</v>
      </c>
      <c r="E1888" s="1">
        <f>IFERROR(__xludf.DUMMYFUNCTION("""COMPUTED_VALUE"""),132.07)</f>
        <v>132.07</v>
      </c>
      <c r="F1888" s="1">
        <f>IFERROR(__xludf.DUMMYFUNCTION("""COMPUTED_VALUE"""),46993.0)</f>
        <v>46993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IFERROR(__xludf.DUMMYFUNCTION("""COMPUTED_VALUE"""),132.52)</f>
        <v>132.52</v>
      </c>
      <c r="C1889" s="1">
        <f>IFERROR(__xludf.DUMMYFUNCTION("""COMPUTED_VALUE"""),133.32)</f>
        <v>133.32</v>
      </c>
      <c r="D1889" s="1">
        <f>IFERROR(__xludf.DUMMYFUNCTION("""COMPUTED_VALUE"""),131.81)</f>
        <v>131.81</v>
      </c>
      <c r="E1889" s="1">
        <f>IFERROR(__xludf.DUMMYFUNCTION("""COMPUTED_VALUE"""),132.61)</f>
        <v>132.61</v>
      </c>
      <c r="F1889" s="1">
        <f>IFERROR(__xludf.DUMMYFUNCTION("""COMPUTED_VALUE"""),24347.0)</f>
        <v>24347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IFERROR(__xludf.DUMMYFUNCTION("""COMPUTED_VALUE"""),132.16)</f>
        <v>132.16</v>
      </c>
      <c r="C1890" s="1">
        <f>IFERROR(__xludf.DUMMYFUNCTION("""COMPUTED_VALUE"""),133.14)</f>
        <v>133.14</v>
      </c>
      <c r="D1890" s="1">
        <f>IFERROR(__xludf.DUMMYFUNCTION("""COMPUTED_VALUE"""),130.5)</f>
        <v>130.5</v>
      </c>
      <c r="E1890" s="1">
        <f>IFERROR(__xludf.DUMMYFUNCTION("""COMPUTED_VALUE"""),131.23)</f>
        <v>131.23</v>
      </c>
      <c r="F1890" s="1">
        <f>IFERROR(__xludf.DUMMYFUNCTION("""COMPUTED_VALUE"""),44913.0)</f>
        <v>44913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IFERROR(__xludf.DUMMYFUNCTION("""COMPUTED_VALUE"""),130.89)</f>
        <v>130.89</v>
      </c>
      <c r="C1891" s="1">
        <f>IFERROR(__xludf.DUMMYFUNCTION("""COMPUTED_VALUE"""),131.18)</f>
        <v>131.18</v>
      </c>
      <c r="D1891" s="1">
        <f>IFERROR(__xludf.DUMMYFUNCTION("""COMPUTED_VALUE"""),129.25)</f>
        <v>129.25</v>
      </c>
      <c r="E1891" s="1">
        <f>IFERROR(__xludf.DUMMYFUNCTION("""COMPUTED_VALUE"""),130.34)</f>
        <v>130.34</v>
      </c>
      <c r="F1891" s="1">
        <f>IFERROR(__xludf.DUMMYFUNCTION("""COMPUTED_VALUE"""),55705.0)</f>
        <v>55705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IFERROR(__xludf.DUMMYFUNCTION("""COMPUTED_VALUE"""),130.81)</f>
        <v>130.81</v>
      </c>
      <c r="C1892" s="1">
        <f>IFERROR(__xludf.DUMMYFUNCTION("""COMPUTED_VALUE"""),131.85)</f>
        <v>131.85</v>
      </c>
      <c r="D1892" s="1">
        <f>IFERROR(__xludf.DUMMYFUNCTION("""COMPUTED_VALUE"""),130.0)</f>
        <v>130</v>
      </c>
      <c r="E1892" s="1">
        <f>IFERROR(__xludf.DUMMYFUNCTION("""COMPUTED_VALUE"""),131.59)</f>
        <v>131.59</v>
      </c>
      <c r="F1892" s="1">
        <f>IFERROR(__xludf.DUMMYFUNCTION("""COMPUTED_VALUE"""),27641.0)</f>
        <v>27641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IFERROR(__xludf.DUMMYFUNCTION("""COMPUTED_VALUE"""),131.58)</f>
        <v>131.58</v>
      </c>
      <c r="C1893" s="1">
        <f>IFERROR(__xludf.DUMMYFUNCTION("""COMPUTED_VALUE"""),131.85)</f>
        <v>131.85</v>
      </c>
      <c r="D1893" s="1">
        <f>IFERROR(__xludf.DUMMYFUNCTION("""COMPUTED_VALUE"""),128.57)</f>
        <v>128.57</v>
      </c>
      <c r="E1893" s="1">
        <f>IFERROR(__xludf.DUMMYFUNCTION("""COMPUTED_VALUE"""),129.37)</f>
        <v>129.37</v>
      </c>
      <c r="F1893" s="1">
        <f>IFERROR(__xludf.DUMMYFUNCTION("""COMPUTED_VALUE"""),69125.0)</f>
        <v>69125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IFERROR(__xludf.DUMMYFUNCTION("""COMPUTED_VALUE"""),129.42)</f>
        <v>129.42</v>
      </c>
      <c r="C1894" s="1">
        <f>IFERROR(__xludf.DUMMYFUNCTION("""COMPUTED_VALUE"""),135.01)</f>
        <v>135.01</v>
      </c>
      <c r="D1894" s="1">
        <f>IFERROR(__xludf.DUMMYFUNCTION("""COMPUTED_VALUE"""),127.97)</f>
        <v>127.97</v>
      </c>
      <c r="E1894" s="1">
        <f>IFERROR(__xludf.DUMMYFUNCTION("""COMPUTED_VALUE"""),129.27)</f>
        <v>129.27</v>
      </c>
      <c r="F1894" s="1">
        <f>IFERROR(__xludf.DUMMYFUNCTION("""COMPUTED_VALUE"""),71600.0)</f>
        <v>71600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IFERROR(__xludf.DUMMYFUNCTION("""COMPUTED_VALUE"""),129.91)</f>
        <v>129.91</v>
      </c>
      <c r="C1895" s="1">
        <f>IFERROR(__xludf.DUMMYFUNCTION("""COMPUTED_VALUE"""),131.85)</f>
        <v>131.85</v>
      </c>
      <c r="D1895" s="1">
        <f>IFERROR(__xludf.DUMMYFUNCTION("""COMPUTED_VALUE"""),129.76)</f>
        <v>129.76</v>
      </c>
      <c r="E1895" s="1">
        <f>IFERROR(__xludf.DUMMYFUNCTION("""COMPUTED_VALUE"""),130.32)</f>
        <v>130.32</v>
      </c>
      <c r="F1895" s="1">
        <f>IFERROR(__xludf.DUMMYFUNCTION("""COMPUTED_VALUE"""),34070.0)</f>
        <v>34070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IFERROR(__xludf.DUMMYFUNCTION("""COMPUTED_VALUE"""),130.17)</f>
        <v>130.17</v>
      </c>
      <c r="C1896" s="1">
        <f>IFERROR(__xludf.DUMMYFUNCTION("""COMPUTED_VALUE"""),130.85)</f>
        <v>130.85</v>
      </c>
      <c r="D1896" s="1">
        <f>IFERROR(__xludf.DUMMYFUNCTION("""COMPUTED_VALUE"""),128.64)</f>
        <v>128.64</v>
      </c>
      <c r="E1896" s="1">
        <f>IFERROR(__xludf.DUMMYFUNCTION("""COMPUTED_VALUE"""),129.46)</f>
        <v>129.46</v>
      </c>
      <c r="F1896" s="1">
        <f>IFERROR(__xludf.DUMMYFUNCTION("""COMPUTED_VALUE"""),65877.0)</f>
        <v>65877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IFERROR(__xludf.DUMMYFUNCTION("""COMPUTED_VALUE"""),129.15)</f>
        <v>129.15</v>
      </c>
      <c r="C1897" s="1">
        <f>IFERROR(__xludf.DUMMYFUNCTION("""COMPUTED_VALUE"""),130.04)</f>
        <v>130.04</v>
      </c>
      <c r="D1897" s="1">
        <f>IFERROR(__xludf.DUMMYFUNCTION("""COMPUTED_VALUE"""),128.54)</f>
        <v>128.54</v>
      </c>
      <c r="E1897" s="1">
        <f>IFERROR(__xludf.DUMMYFUNCTION("""COMPUTED_VALUE"""),129.38)</f>
        <v>129.38</v>
      </c>
      <c r="F1897" s="1">
        <f>IFERROR(__xludf.DUMMYFUNCTION("""COMPUTED_VALUE"""),58846.0)</f>
        <v>58846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IFERROR(__xludf.DUMMYFUNCTION("""COMPUTED_VALUE"""),129.39)</f>
        <v>129.39</v>
      </c>
      <c r="C1898" s="1">
        <f>IFERROR(__xludf.DUMMYFUNCTION("""COMPUTED_VALUE"""),131.68)</f>
        <v>131.68</v>
      </c>
      <c r="D1898" s="1">
        <f>IFERROR(__xludf.DUMMYFUNCTION("""COMPUTED_VALUE"""),129.39)</f>
        <v>129.39</v>
      </c>
      <c r="E1898" s="1">
        <f>IFERROR(__xludf.DUMMYFUNCTION("""COMPUTED_VALUE"""),131.34)</f>
        <v>131.34</v>
      </c>
      <c r="F1898" s="1">
        <f>IFERROR(__xludf.DUMMYFUNCTION("""COMPUTED_VALUE"""),54874.0)</f>
        <v>54874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IFERROR(__xludf.DUMMYFUNCTION("""COMPUTED_VALUE"""),130.75)</f>
        <v>130.75</v>
      </c>
      <c r="C1899" s="1">
        <f>IFERROR(__xludf.DUMMYFUNCTION("""COMPUTED_VALUE"""),132.25)</f>
        <v>132.25</v>
      </c>
      <c r="D1899" s="1">
        <f>IFERROR(__xludf.DUMMYFUNCTION("""COMPUTED_VALUE"""),130.32)</f>
        <v>130.32</v>
      </c>
      <c r="E1899" s="1">
        <f>IFERROR(__xludf.DUMMYFUNCTION("""COMPUTED_VALUE"""),131.51)</f>
        <v>131.51</v>
      </c>
      <c r="F1899" s="1">
        <f>IFERROR(__xludf.DUMMYFUNCTION("""COMPUTED_VALUE"""),46973.0)</f>
        <v>46973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IFERROR(__xludf.DUMMYFUNCTION("""COMPUTED_VALUE"""),131.67)</f>
        <v>131.67</v>
      </c>
      <c r="C1900" s="1">
        <f>IFERROR(__xludf.DUMMYFUNCTION("""COMPUTED_VALUE"""),134.66)</f>
        <v>134.66</v>
      </c>
      <c r="D1900" s="1">
        <f>IFERROR(__xludf.DUMMYFUNCTION("""COMPUTED_VALUE"""),131.67)</f>
        <v>131.67</v>
      </c>
      <c r="E1900" s="1">
        <f>IFERROR(__xludf.DUMMYFUNCTION("""COMPUTED_VALUE"""),134.64)</f>
        <v>134.64</v>
      </c>
      <c r="F1900" s="1">
        <f>IFERROR(__xludf.DUMMYFUNCTION("""COMPUTED_VALUE"""),47895.0)</f>
        <v>47895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IFERROR(__xludf.DUMMYFUNCTION("""COMPUTED_VALUE"""),134.74)</f>
        <v>134.74</v>
      </c>
      <c r="C1901" s="1">
        <f>IFERROR(__xludf.DUMMYFUNCTION("""COMPUTED_VALUE"""),137.18)</f>
        <v>137.18</v>
      </c>
      <c r="D1901" s="1">
        <f>IFERROR(__xludf.DUMMYFUNCTION("""COMPUTED_VALUE"""),134.04)</f>
        <v>134.04</v>
      </c>
      <c r="E1901" s="1">
        <f>IFERROR(__xludf.DUMMYFUNCTION("""COMPUTED_VALUE"""),136.16)</f>
        <v>136.16</v>
      </c>
      <c r="F1901" s="1">
        <f>IFERROR(__xludf.DUMMYFUNCTION("""COMPUTED_VALUE"""),114256.0)</f>
        <v>114256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IFERROR(__xludf.DUMMYFUNCTION("""COMPUTED_VALUE"""),136.95)</f>
        <v>136.95</v>
      </c>
      <c r="C1902" s="1">
        <f>IFERROR(__xludf.DUMMYFUNCTION("""COMPUTED_VALUE"""),137.91)</f>
        <v>137.91</v>
      </c>
      <c r="D1902" s="1">
        <f>IFERROR(__xludf.DUMMYFUNCTION("""COMPUTED_VALUE"""),134.8)</f>
        <v>134.8</v>
      </c>
      <c r="E1902" s="1">
        <f>IFERROR(__xludf.DUMMYFUNCTION("""COMPUTED_VALUE"""),136.86)</f>
        <v>136.86</v>
      </c>
      <c r="F1902" s="1">
        <f>IFERROR(__xludf.DUMMYFUNCTION("""COMPUTED_VALUE"""),96315.0)</f>
        <v>96315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IFERROR(__xludf.DUMMYFUNCTION("""COMPUTED_VALUE"""),137.3)</f>
        <v>137.3</v>
      </c>
      <c r="C1903" s="1">
        <f>IFERROR(__xludf.DUMMYFUNCTION("""COMPUTED_VALUE"""),138.38)</f>
        <v>138.38</v>
      </c>
      <c r="D1903" s="1">
        <f>IFERROR(__xludf.DUMMYFUNCTION("""COMPUTED_VALUE"""),135.48)</f>
        <v>135.48</v>
      </c>
      <c r="E1903" s="1">
        <f>IFERROR(__xludf.DUMMYFUNCTION("""COMPUTED_VALUE"""),137.59)</f>
        <v>137.59</v>
      </c>
      <c r="F1903" s="1">
        <f>IFERROR(__xludf.DUMMYFUNCTION("""COMPUTED_VALUE"""),107799.0)</f>
        <v>107799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IFERROR(__xludf.DUMMYFUNCTION("""COMPUTED_VALUE"""),131.0)</f>
        <v>131</v>
      </c>
      <c r="C1904" s="1">
        <f>IFERROR(__xludf.DUMMYFUNCTION("""COMPUTED_VALUE"""),134.22)</f>
        <v>134.22</v>
      </c>
      <c r="D1904" s="1">
        <f>IFERROR(__xludf.DUMMYFUNCTION("""COMPUTED_VALUE"""),127.0)</f>
        <v>127</v>
      </c>
      <c r="E1904" s="1">
        <f>IFERROR(__xludf.DUMMYFUNCTION("""COMPUTED_VALUE"""),129.63)</f>
        <v>129.63</v>
      </c>
      <c r="F1904" s="1">
        <f>IFERROR(__xludf.DUMMYFUNCTION("""COMPUTED_VALUE"""),241860.0)</f>
        <v>241860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IFERROR(__xludf.DUMMYFUNCTION("""COMPUTED_VALUE"""),129.91)</f>
        <v>129.91</v>
      </c>
      <c r="C1905" s="1">
        <f>IFERROR(__xludf.DUMMYFUNCTION("""COMPUTED_VALUE"""),131.0)</f>
        <v>131</v>
      </c>
      <c r="D1905" s="1">
        <f>IFERROR(__xludf.DUMMYFUNCTION("""COMPUTED_VALUE"""),127.05)</f>
        <v>127.05</v>
      </c>
      <c r="E1905" s="1">
        <f>IFERROR(__xludf.DUMMYFUNCTION("""COMPUTED_VALUE"""),129.28)</f>
        <v>129.28</v>
      </c>
      <c r="F1905" s="1">
        <f>IFERROR(__xludf.DUMMYFUNCTION("""COMPUTED_VALUE"""),82302.0)</f>
        <v>82302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IFERROR(__xludf.DUMMYFUNCTION("""COMPUTED_VALUE"""),129.54)</f>
        <v>129.54</v>
      </c>
      <c r="C1906" s="1">
        <f>IFERROR(__xludf.DUMMYFUNCTION("""COMPUTED_VALUE"""),131.0)</f>
        <v>131</v>
      </c>
      <c r="D1906" s="1">
        <f>IFERROR(__xludf.DUMMYFUNCTION("""COMPUTED_VALUE"""),128.58)</f>
        <v>128.58</v>
      </c>
      <c r="E1906" s="1">
        <f>IFERROR(__xludf.DUMMYFUNCTION("""COMPUTED_VALUE"""),130.87)</f>
        <v>130.87</v>
      </c>
      <c r="F1906" s="1">
        <f>IFERROR(__xludf.DUMMYFUNCTION("""COMPUTED_VALUE"""),88407.0)</f>
        <v>88407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IFERROR(__xludf.DUMMYFUNCTION("""COMPUTED_VALUE"""),130.76)</f>
        <v>130.76</v>
      </c>
      <c r="C1907" s="1">
        <f>IFERROR(__xludf.DUMMYFUNCTION("""COMPUTED_VALUE"""),130.98)</f>
        <v>130.98</v>
      </c>
      <c r="D1907" s="1">
        <f>IFERROR(__xludf.DUMMYFUNCTION("""COMPUTED_VALUE"""),129.51)</f>
        <v>129.51</v>
      </c>
      <c r="E1907" s="1">
        <f>IFERROR(__xludf.DUMMYFUNCTION("""COMPUTED_VALUE"""),130.62)</f>
        <v>130.62</v>
      </c>
      <c r="F1907" s="1">
        <f>IFERROR(__xludf.DUMMYFUNCTION("""COMPUTED_VALUE"""),75859.0)</f>
        <v>75859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IFERROR(__xludf.DUMMYFUNCTION("""COMPUTED_VALUE"""),130.86)</f>
        <v>130.86</v>
      </c>
      <c r="C1908" s="1">
        <f>IFERROR(__xludf.DUMMYFUNCTION("""COMPUTED_VALUE"""),132.29)</f>
        <v>132.29</v>
      </c>
      <c r="D1908" s="1">
        <f>IFERROR(__xludf.DUMMYFUNCTION("""COMPUTED_VALUE"""),130.0)</f>
        <v>130</v>
      </c>
      <c r="E1908" s="1">
        <f>IFERROR(__xludf.DUMMYFUNCTION("""COMPUTED_VALUE"""),131.4)</f>
        <v>131.4</v>
      </c>
      <c r="F1908" s="1">
        <f>IFERROR(__xludf.DUMMYFUNCTION("""COMPUTED_VALUE"""),67424.0)</f>
        <v>67424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IFERROR(__xludf.DUMMYFUNCTION("""COMPUTED_VALUE"""),131.56)</f>
        <v>131.56</v>
      </c>
      <c r="C1909" s="1">
        <f>IFERROR(__xludf.DUMMYFUNCTION("""COMPUTED_VALUE"""),131.56)</f>
        <v>131.56</v>
      </c>
      <c r="D1909" s="1">
        <f>IFERROR(__xludf.DUMMYFUNCTION("""COMPUTED_VALUE"""),128.8)</f>
        <v>128.8</v>
      </c>
      <c r="E1909" s="1">
        <f>IFERROR(__xludf.DUMMYFUNCTION("""COMPUTED_VALUE"""),129.2)</f>
        <v>129.2</v>
      </c>
      <c r="F1909" s="1">
        <f>IFERROR(__xludf.DUMMYFUNCTION("""COMPUTED_VALUE"""),63972.0)</f>
        <v>63972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IFERROR(__xludf.DUMMYFUNCTION("""COMPUTED_VALUE"""),129.2)</f>
        <v>129.2</v>
      </c>
      <c r="C1910" s="1">
        <f>IFERROR(__xludf.DUMMYFUNCTION("""COMPUTED_VALUE"""),131.45)</f>
        <v>131.45</v>
      </c>
      <c r="D1910" s="1">
        <f>IFERROR(__xludf.DUMMYFUNCTION("""COMPUTED_VALUE"""),128.77)</f>
        <v>128.77</v>
      </c>
      <c r="E1910" s="1">
        <f>IFERROR(__xludf.DUMMYFUNCTION("""COMPUTED_VALUE"""),129.19)</f>
        <v>129.19</v>
      </c>
      <c r="F1910" s="1">
        <f>IFERROR(__xludf.DUMMYFUNCTION("""COMPUTED_VALUE"""),86192.0)</f>
        <v>86192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IFERROR(__xludf.DUMMYFUNCTION("""COMPUTED_VALUE"""),129.28)</f>
        <v>129.28</v>
      </c>
      <c r="C1911" s="1">
        <f>IFERROR(__xludf.DUMMYFUNCTION("""COMPUTED_VALUE"""),129.93)</f>
        <v>129.93</v>
      </c>
      <c r="D1911" s="1">
        <f>IFERROR(__xludf.DUMMYFUNCTION("""COMPUTED_VALUE"""),127.23)</f>
        <v>127.23</v>
      </c>
      <c r="E1911" s="1">
        <f>IFERROR(__xludf.DUMMYFUNCTION("""COMPUTED_VALUE"""),127.54)</f>
        <v>127.54</v>
      </c>
      <c r="F1911" s="1">
        <f>IFERROR(__xludf.DUMMYFUNCTION("""COMPUTED_VALUE"""),85057.0)</f>
        <v>85057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IFERROR(__xludf.DUMMYFUNCTION("""COMPUTED_VALUE"""),127.83)</f>
        <v>127.83</v>
      </c>
      <c r="C1912" s="1">
        <f>IFERROR(__xludf.DUMMYFUNCTION("""COMPUTED_VALUE"""),130.51)</f>
        <v>130.51</v>
      </c>
      <c r="D1912" s="1">
        <f>IFERROR(__xludf.DUMMYFUNCTION("""COMPUTED_VALUE"""),126.94)</f>
        <v>126.94</v>
      </c>
      <c r="E1912" s="1">
        <f>IFERROR(__xludf.DUMMYFUNCTION("""COMPUTED_VALUE"""),127.7)</f>
        <v>127.7</v>
      </c>
      <c r="F1912" s="1">
        <f>IFERROR(__xludf.DUMMYFUNCTION("""COMPUTED_VALUE"""),79338.0)</f>
        <v>79338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IFERROR(__xludf.DUMMYFUNCTION("""COMPUTED_VALUE"""),128.53)</f>
        <v>128.53</v>
      </c>
      <c r="C1913" s="1">
        <f>IFERROR(__xludf.DUMMYFUNCTION("""COMPUTED_VALUE"""),129.24)</f>
        <v>129.24</v>
      </c>
      <c r="D1913" s="1">
        <f>IFERROR(__xludf.DUMMYFUNCTION("""COMPUTED_VALUE"""),127.45)</f>
        <v>127.45</v>
      </c>
      <c r="E1913" s="1">
        <f>IFERROR(__xludf.DUMMYFUNCTION("""COMPUTED_VALUE"""),128.41)</f>
        <v>128.41</v>
      </c>
      <c r="F1913" s="1">
        <f>IFERROR(__xludf.DUMMYFUNCTION("""COMPUTED_VALUE"""),70608.0)</f>
        <v>70608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IFERROR(__xludf.DUMMYFUNCTION("""COMPUTED_VALUE"""),128.2)</f>
        <v>128.2</v>
      </c>
      <c r="C1914" s="1">
        <f>IFERROR(__xludf.DUMMYFUNCTION("""COMPUTED_VALUE"""),129.47)</f>
        <v>129.47</v>
      </c>
      <c r="D1914" s="1">
        <f>IFERROR(__xludf.DUMMYFUNCTION("""COMPUTED_VALUE"""),126.45)</f>
        <v>126.45</v>
      </c>
      <c r="E1914" s="1">
        <f>IFERROR(__xludf.DUMMYFUNCTION("""COMPUTED_VALUE"""),127.55)</f>
        <v>127.55</v>
      </c>
      <c r="F1914" s="1">
        <f>IFERROR(__xludf.DUMMYFUNCTION("""COMPUTED_VALUE"""),72998.0)</f>
        <v>72998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IFERROR(__xludf.DUMMYFUNCTION("""COMPUTED_VALUE"""),126.99)</f>
        <v>126.99</v>
      </c>
      <c r="C1915" s="1">
        <f>IFERROR(__xludf.DUMMYFUNCTION("""COMPUTED_VALUE"""),129.47)</f>
        <v>129.47</v>
      </c>
      <c r="D1915" s="1">
        <f>IFERROR(__xludf.DUMMYFUNCTION("""COMPUTED_VALUE"""),126.97)</f>
        <v>126.97</v>
      </c>
      <c r="E1915" s="1">
        <f>IFERROR(__xludf.DUMMYFUNCTION("""COMPUTED_VALUE"""),128.6)</f>
        <v>128.6</v>
      </c>
      <c r="F1915" s="1">
        <f>IFERROR(__xludf.DUMMYFUNCTION("""COMPUTED_VALUE"""),109784.0)</f>
        <v>109784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IFERROR(__xludf.DUMMYFUNCTION("""COMPUTED_VALUE"""),128.17)</f>
        <v>128.17</v>
      </c>
      <c r="C1916" s="1">
        <f>IFERROR(__xludf.DUMMYFUNCTION("""COMPUTED_VALUE"""),129.42)</f>
        <v>129.42</v>
      </c>
      <c r="D1916" s="1">
        <f>IFERROR(__xludf.DUMMYFUNCTION("""COMPUTED_VALUE"""),127.32)</f>
        <v>127.32</v>
      </c>
      <c r="E1916" s="1">
        <f>IFERROR(__xludf.DUMMYFUNCTION("""COMPUTED_VALUE"""),128.27)</f>
        <v>128.27</v>
      </c>
      <c r="F1916" s="1">
        <f>IFERROR(__xludf.DUMMYFUNCTION("""COMPUTED_VALUE"""),73843.0)</f>
        <v>73843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IFERROR(__xludf.DUMMYFUNCTION("""COMPUTED_VALUE"""),128.69)</f>
        <v>128.69</v>
      </c>
      <c r="C1917" s="1">
        <f>IFERROR(__xludf.DUMMYFUNCTION("""COMPUTED_VALUE"""),129.59)</f>
        <v>129.59</v>
      </c>
      <c r="D1917" s="1">
        <f>IFERROR(__xludf.DUMMYFUNCTION("""COMPUTED_VALUE"""),127.78)</f>
        <v>127.78</v>
      </c>
      <c r="E1917" s="1">
        <f>IFERROR(__xludf.DUMMYFUNCTION("""COMPUTED_VALUE"""),128.02)</f>
        <v>128.02</v>
      </c>
      <c r="F1917" s="1">
        <f>IFERROR(__xludf.DUMMYFUNCTION("""COMPUTED_VALUE"""),59573.0)</f>
        <v>59573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IFERROR(__xludf.DUMMYFUNCTION("""COMPUTED_VALUE"""),128.46)</f>
        <v>128.46</v>
      </c>
      <c r="C1918" s="1">
        <f>IFERROR(__xludf.DUMMYFUNCTION("""COMPUTED_VALUE"""),129.89)</f>
        <v>129.89</v>
      </c>
      <c r="D1918" s="1">
        <f>IFERROR(__xludf.DUMMYFUNCTION("""COMPUTED_VALUE"""),128.45)</f>
        <v>128.45</v>
      </c>
      <c r="E1918" s="1">
        <f>IFERROR(__xludf.DUMMYFUNCTION("""COMPUTED_VALUE"""),129.43)</f>
        <v>129.43</v>
      </c>
      <c r="F1918" s="1">
        <f>IFERROR(__xludf.DUMMYFUNCTION("""COMPUTED_VALUE"""),50634.0)</f>
        <v>50634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IFERROR(__xludf.DUMMYFUNCTION("""COMPUTED_VALUE"""),129.55)</f>
        <v>129.55</v>
      </c>
      <c r="C1919" s="1">
        <f>IFERROR(__xludf.DUMMYFUNCTION("""COMPUTED_VALUE"""),129.55)</f>
        <v>129.55</v>
      </c>
      <c r="D1919" s="1">
        <f>IFERROR(__xludf.DUMMYFUNCTION("""COMPUTED_VALUE"""),128.25)</f>
        <v>128.25</v>
      </c>
      <c r="E1919" s="1">
        <f>IFERROR(__xludf.DUMMYFUNCTION("""COMPUTED_VALUE"""),128.57)</f>
        <v>128.57</v>
      </c>
      <c r="F1919" s="1">
        <f>IFERROR(__xludf.DUMMYFUNCTION("""COMPUTED_VALUE"""),29110.0)</f>
        <v>29110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IFERROR(__xludf.DUMMYFUNCTION("""COMPUTED_VALUE"""),128.32)</f>
        <v>128.32</v>
      </c>
      <c r="C1920" s="1">
        <f>IFERROR(__xludf.DUMMYFUNCTION("""COMPUTED_VALUE"""),130.3)</f>
        <v>130.3</v>
      </c>
      <c r="D1920" s="1">
        <f>IFERROR(__xludf.DUMMYFUNCTION("""COMPUTED_VALUE"""),128.32)</f>
        <v>128.32</v>
      </c>
      <c r="E1920" s="1">
        <f>IFERROR(__xludf.DUMMYFUNCTION("""COMPUTED_VALUE"""),129.04)</f>
        <v>129.04</v>
      </c>
      <c r="F1920" s="1">
        <f>IFERROR(__xludf.DUMMYFUNCTION("""COMPUTED_VALUE"""),56103.0)</f>
        <v>56103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IFERROR(__xludf.DUMMYFUNCTION("""COMPUTED_VALUE"""),128.42)</f>
        <v>128.42</v>
      </c>
      <c r="C1921" s="1">
        <f>IFERROR(__xludf.DUMMYFUNCTION("""COMPUTED_VALUE"""),129.76)</f>
        <v>129.76</v>
      </c>
      <c r="D1921" s="1">
        <f>IFERROR(__xludf.DUMMYFUNCTION("""COMPUTED_VALUE"""),126.57)</f>
        <v>126.57</v>
      </c>
      <c r="E1921" s="1">
        <f>IFERROR(__xludf.DUMMYFUNCTION("""COMPUTED_VALUE"""),127.02)</f>
        <v>127.02</v>
      </c>
      <c r="F1921" s="1">
        <f>IFERROR(__xludf.DUMMYFUNCTION("""COMPUTED_VALUE"""),79886.0)</f>
        <v>79886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IFERROR(__xludf.DUMMYFUNCTION("""COMPUTED_VALUE"""),126.77)</f>
        <v>126.77</v>
      </c>
      <c r="C1922" s="1">
        <f>IFERROR(__xludf.DUMMYFUNCTION("""COMPUTED_VALUE"""),127.32)</f>
        <v>127.32</v>
      </c>
      <c r="D1922" s="1">
        <f>IFERROR(__xludf.DUMMYFUNCTION("""COMPUTED_VALUE"""),125.76)</f>
        <v>125.76</v>
      </c>
      <c r="E1922" s="1">
        <f>IFERROR(__xludf.DUMMYFUNCTION("""COMPUTED_VALUE"""),126.66)</f>
        <v>126.66</v>
      </c>
      <c r="F1922" s="1">
        <f>IFERROR(__xludf.DUMMYFUNCTION("""COMPUTED_VALUE"""),74059.0)</f>
        <v>74059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IFERROR(__xludf.DUMMYFUNCTION("""COMPUTED_VALUE"""),126.63)</f>
        <v>126.63</v>
      </c>
      <c r="C1923" s="1">
        <f>IFERROR(__xludf.DUMMYFUNCTION("""COMPUTED_VALUE"""),127.83)</f>
        <v>127.83</v>
      </c>
      <c r="D1923" s="1">
        <f>IFERROR(__xludf.DUMMYFUNCTION("""COMPUTED_VALUE"""),126.21)</f>
        <v>126.21</v>
      </c>
      <c r="E1923" s="1">
        <f>IFERROR(__xludf.DUMMYFUNCTION("""COMPUTED_VALUE"""),126.41)</f>
        <v>126.41</v>
      </c>
      <c r="F1923" s="1">
        <f>IFERROR(__xludf.DUMMYFUNCTION("""COMPUTED_VALUE"""),65764.0)</f>
        <v>65764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IFERROR(__xludf.DUMMYFUNCTION("""COMPUTED_VALUE"""),126.38)</f>
        <v>126.38</v>
      </c>
      <c r="C1924" s="1">
        <f>IFERROR(__xludf.DUMMYFUNCTION("""COMPUTED_VALUE"""),128.38)</f>
        <v>128.38</v>
      </c>
      <c r="D1924" s="1">
        <f>IFERROR(__xludf.DUMMYFUNCTION("""COMPUTED_VALUE"""),126.1)</f>
        <v>126.1</v>
      </c>
      <c r="E1924" s="1">
        <f>IFERROR(__xludf.DUMMYFUNCTION("""COMPUTED_VALUE"""),128.16)</f>
        <v>128.16</v>
      </c>
      <c r="F1924" s="1">
        <f>IFERROR(__xludf.DUMMYFUNCTION("""COMPUTED_VALUE"""),50867.0)</f>
        <v>50867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IFERROR(__xludf.DUMMYFUNCTION("""COMPUTED_VALUE"""),127.3)</f>
        <v>127.3</v>
      </c>
      <c r="C1925" s="1">
        <f>IFERROR(__xludf.DUMMYFUNCTION("""COMPUTED_VALUE"""),128.25)</f>
        <v>128.25</v>
      </c>
      <c r="D1925" s="1">
        <f>IFERROR(__xludf.DUMMYFUNCTION("""COMPUTED_VALUE"""),125.58)</f>
        <v>125.58</v>
      </c>
      <c r="E1925" s="1">
        <f>IFERROR(__xludf.DUMMYFUNCTION("""COMPUTED_VALUE"""),126.89)</f>
        <v>126.89</v>
      </c>
      <c r="F1925" s="1">
        <f>IFERROR(__xludf.DUMMYFUNCTION("""COMPUTED_VALUE"""),38293.0)</f>
        <v>38293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IFERROR(__xludf.DUMMYFUNCTION("""COMPUTED_VALUE"""),127.12)</f>
        <v>127.12</v>
      </c>
      <c r="C1926" s="1">
        <f>IFERROR(__xludf.DUMMYFUNCTION("""COMPUTED_VALUE"""),127.12)</f>
        <v>127.12</v>
      </c>
      <c r="D1926" s="1">
        <f>IFERROR(__xludf.DUMMYFUNCTION("""COMPUTED_VALUE"""),125.14)</f>
        <v>125.14</v>
      </c>
      <c r="E1926" s="1">
        <f>IFERROR(__xludf.DUMMYFUNCTION("""COMPUTED_VALUE"""),125.3)</f>
        <v>125.3</v>
      </c>
      <c r="F1926" s="1">
        <f>IFERROR(__xludf.DUMMYFUNCTION("""COMPUTED_VALUE"""),73775.0)</f>
        <v>73775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IFERROR(__xludf.DUMMYFUNCTION("""COMPUTED_VALUE"""),125.6)</f>
        <v>125.6</v>
      </c>
      <c r="C1927" s="1">
        <f>IFERROR(__xludf.DUMMYFUNCTION("""COMPUTED_VALUE"""),126.15)</f>
        <v>126.15</v>
      </c>
      <c r="D1927" s="1">
        <f>IFERROR(__xludf.DUMMYFUNCTION("""COMPUTED_VALUE"""),124.55)</f>
        <v>124.55</v>
      </c>
      <c r="E1927" s="1">
        <f>IFERROR(__xludf.DUMMYFUNCTION("""COMPUTED_VALUE"""),124.78)</f>
        <v>124.78</v>
      </c>
      <c r="F1927" s="1">
        <f>IFERROR(__xludf.DUMMYFUNCTION("""COMPUTED_VALUE"""),42433.0)</f>
        <v>42433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IFERROR(__xludf.DUMMYFUNCTION("""COMPUTED_VALUE"""),125.0)</f>
        <v>125</v>
      </c>
      <c r="C1928" s="1">
        <f>IFERROR(__xludf.DUMMYFUNCTION("""COMPUTED_VALUE"""),126.97)</f>
        <v>126.97</v>
      </c>
      <c r="D1928" s="1">
        <f>IFERROR(__xludf.DUMMYFUNCTION("""COMPUTED_VALUE"""),124.1)</f>
        <v>124.1</v>
      </c>
      <c r="E1928" s="1">
        <f>IFERROR(__xludf.DUMMYFUNCTION("""COMPUTED_VALUE"""),126.77)</f>
        <v>126.77</v>
      </c>
      <c r="F1928" s="1">
        <f>IFERROR(__xludf.DUMMYFUNCTION("""COMPUTED_VALUE"""),95170.0)</f>
        <v>95170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IFERROR(__xludf.DUMMYFUNCTION("""COMPUTED_VALUE"""),126.43)</f>
        <v>126.43</v>
      </c>
      <c r="C1929" s="1">
        <f>IFERROR(__xludf.DUMMYFUNCTION("""COMPUTED_VALUE"""),126.79)</f>
        <v>126.79</v>
      </c>
      <c r="D1929" s="1">
        <f>IFERROR(__xludf.DUMMYFUNCTION("""COMPUTED_VALUE"""),125.76)</f>
        <v>125.76</v>
      </c>
      <c r="E1929" s="1">
        <f>IFERROR(__xludf.DUMMYFUNCTION("""COMPUTED_VALUE"""),126.16)</f>
        <v>126.16</v>
      </c>
      <c r="F1929" s="1">
        <f>IFERROR(__xludf.DUMMYFUNCTION("""COMPUTED_VALUE"""),51193.0)</f>
        <v>51193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IFERROR(__xludf.DUMMYFUNCTION("""COMPUTED_VALUE"""),126.18)</f>
        <v>126.18</v>
      </c>
      <c r="C1930" s="1">
        <f>IFERROR(__xludf.DUMMYFUNCTION("""COMPUTED_VALUE"""),126.56)</f>
        <v>126.56</v>
      </c>
      <c r="D1930" s="1">
        <f>IFERROR(__xludf.DUMMYFUNCTION("""COMPUTED_VALUE"""),125.28)</f>
        <v>125.28</v>
      </c>
      <c r="E1930" s="1">
        <f>IFERROR(__xludf.DUMMYFUNCTION("""COMPUTED_VALUE"""),125.99)</f>
        <v>125.99</v>
      </c>
      <c r="F1930" s="1">
        <f>IFERROR(__xludf.DUMMYFUNCTION("""COMPUTED_VALUE"""),48813.0)</f>
        <v>48813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IFERROR(__xludf.DUMMYFUNCTION("""COMPUTED_VALUE"""),126.43)</f>
        <v>126.43</v>
      </c>
      <c r="C1931" s="1">
        <f>IFERROR(__xludf.DUMMYFUNCTION("""COMPUTED_VALUE"""),128.08)</f>
        <v>128.08</v>
      </c>
      <c r="D1931" s="1">
        <f>IFERROR(__xludf.DUMMYFUNCTION("""COMPUTED_VALUE"""),125.69)</f>
        <v>125.69</v>
      </c>
      <c r="E1931" s="1">
        <f>IFERROR(__xludf.DUMMYFUNCTION("""COMPUTED_VALUE"""),127.49)</f>
        <v>127.49</v>
      </c>
      <c r="F1931" s="1">
        <f>IFERROR(__xludf.DUMMYFUNCTION("""COMPUTED_VALUE"""),55190.0)</f>
        <v>55190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IFERROR(__xludf.DUMMYFUNCTION("""COMPUTED_VALUE"""),126.74)</f>
        <v>126.74</v>
      </c>
      <c r="C1932" s="1">
        <f>IFERROR(__xludf.DUMMYFUNCTION("""COMPUTED_VALUE"""),128.65)</f>
        <v>128.65</v>
      </c>
      <c r="D1932" s="1">
        <f>IFERROR(__xludf.DUMMYFUNCTION("""COMPUTED_VALUE"""),126.74)</f>
        <v>126.74</v>
      </c>
      <c r="E1932" s="1">
        <f>IFERROR(__xludf.DUMMYFUNCTION("""COMPUTED_VALUE"""),127.73)</f>
        <v>127.73</v>
      </c>
      <c r="F1932" s="1">
        <f>IFERROR(__xludf.DUMMYFUNCTION("""COMPUTED_VALUE"""),39947.0)</f>
        <v>39947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IFERROR(__xludf.DUMMYFUNCTION("""COMPUTED_VALUE"""),127.63)</f>
        <v>127.63</v>
      </c>
      <c r="C1933" s="1">
        <f>IFERROR(__xludf.DUMMYFUNCTION("""COMPUTED_VALUE"""),128.9)</f>
        <v>128.9</v>
      </c>
      <c r="D1933" s="1">
        <f>IFERROR(__xludf.DUMMYFUNCTION("""COMPUTED_VALUE"""),125.54)</f>
        <v>125.54</v>
      </c>
      <c r="E1933" s="1">
        <f>IFERROR(__xludf.DUMMYFUNCTION("""COMPUTED_VALUE"""),127.83)</f>
        <v>127.83</v>
      </c>
      <c r="F1933" s="1">
        <f>IFERROR(__xludf.DUMMYFUNCTION("""COMPUTED_VALUE"""),66428.0)</f>
        <v>66428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IFERROR(__xludf.DUMMYFUNCTION("""COMPUTED_VALUE"""),127.82)</f>
        <v>127.82</v>
      </c>
      <c r="C1934" s="1">
        <f>IFERROR(__xludf.DUMMYFUNCTION("""COMPUTED_VALUE"""),128.84)</f>
        <v>128.84</v>
      </c>
      <c r="D1934" s="1">
        <f>IFERROR(__xludf.DUMMYFUNCTION("""COMPUTED_VALUE"""),127.1)</f>
        <v>127.1</v>
      </c>
      <c r="E1934" s="1">
        <f>IFERROR(__xludf.DUMMYFUNCTION("""COMPUTED_VALUE"""),127.57)</f>
        <v>127.57</v>
      </c>
      <c r="F1934" s="1">
        <f>IFERROR(__xludf.DUMMYFUNCTION("""COMPUTED_VALUE"""),101142.0)</f>
        <v>101142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IFERROR(__xludf.DUMMYFUNCTION("""COMPUTED_VALUE"""),127.8)</f>
        <v>127.8</v>
      </c>
      <c r="C1935" s="1">
        <f>IFERROR(__xludf.DUMMYFUNCTION("""COMPUTED_VALUE"""),128.57)</f>
        <v>128.57</v>
      </c>
      <c r="D1935" s="1">
        <f>IFERROR(__xludf.DUMMYFUNCTION("""COMPUTED_VALUE"""),125.94)</f>
        <v>125.94</v>
      </c>
      <c r="E1935" s="1">
        <f>IFERROR(__xludf.DUMMYFUNCTION("""COMPUTED_VALUE"""),126.23)</f>
        <v>126.23</v>
      </c>
      <c r="F1935" s="1">
        <f>IFERROR(__xludf.DUMMYFUNCTION("""COMPUTED_VALUE"""),68544.0)</f>
        <v>68544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IFERROR(__xludf.DUMMYFUNCTION("""COMPUTED_VALUE"""),126.1)</f>
        <v>126.1</v>
      </c>
      <c r="C1936" s="1">
        <f>IFERROR(__xludf.DUMMYFUNCTION("""COMPUTED_VALUE"""),126.13)</f>
        <v>126.13</v>
      </c>
      <c r="D1936" s="1">
        <f>IFERROR(__xludf.DUMMYFUNCTION("""COMPUTED_VALUE"""),125.01)</f>
        <v>125.01</v>
      </c>
      <c r="E1936" s="1">
        <f>IFERROR(__xludf.DUMMYFUNCTION("""COMPUTED_VALUE"""),125.66)</f>
        <v>125.66</v>
      </c>
      <c r="F1936" s="1">
        <f>IFERROR(__xludf.DUMMYFUNCTION("""COMPUTED_VALUE"""),80035.0)</f>
        <v>80035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IFERROR(__xludf.DUMMYFUNCTION("""COMPUTED_VALUE"""),126.14)</f>
        <v>126.14</v>
      </c>
      <c r="C1937" s="1">
        <f>IFERROR(__xludf.DUMMYFUNCTION("""COMPUTED_VALUE"""),127.19)</f>
        <v>127.19</v>
      </c>
      <c r="D1937" s="1">
        <f>IFERROR(__xludf.DUMMYFUNCTION("""COMPUTED_VALUE"""),125.45)</f>
        <v>125.45</v>
      </c>
      <c r="E1937" s="1">
        <f>IFERROR(__xludf.DUMMYFUNCTION("""COMPUTED_VALUE"""),125.9)</f>
        <v>125.9</v>
      </c>
      <c r="F1937" s="1">
        <f>IFERROR(__xludf.DUMMYFUNCTION("""COMPUTED_VALUE"""),149643.0)</f>
        <v>149643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IFERROR(__xludf.DUMMYFUNCTION("""COMPUTED_VALUE"""),125.68)</f>
        <v>125.68</v>
      </c>
      <c r="C1938" s="1">
        <f>IFERROR(__xludf.DUMMYFUNCTION("""COMPUTED_VALUE"""),126.75)</f>
        <v>126.75</v>
      </c>
      <c r="D1938" s="1">
        <f>IFERROR(__xludf.DUMMYFUNCTION("""COMPUTED_VALUE"""),124.96)</f>
        <v>124.96</v>
      </c>
      <c r="E1938" s="1">
        <f>IFERROR(__xludf.DUMMYFUNCTION("""COMPUTED_VALUE"""),125.55)</f>
        <v>125.55</v>
      </c>
      <c r="F1938" s="1">
        <f>IFERROR(__xludf.DUMMYFUNCTION("""COMPUTED_VALUE"""),95052.0)</f>
        <v>95052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IFERROR(__xludf.DUMMYFUNCTION("""COMPUTED_VALUE"""),125.25)</f>
        <v>125.25</v>
      </c>
      <c r="C1939" s="1">
        <f>IFERROR(__xludf.DUMMYFUNCTION("""COMPUTED_VALUE"""),126.48)</f>
        <v>126.48</v>
      </c>
      <c r="D1939" s="1">
        <f>IFERROR(__xludf.DUMMYFUNCTION("""COMPUTED_VALUE"""),124.49)</f>
        <v>124.49</v>
      </c>
      <c r="E1939" s="1">
        <f>IFERROR(__xludf.DUMMYFUNCTION("""COMPUTED_VALUE"""),125.91)</f>
        <v>125.91</v>
      </c>
      <c r="F1939" s="1">
        <f>IFERROR(__xludf.DUMMYFUNCTION("""COMPUTED_VALUE"""),62157.0)</f>
        <v>62157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IFERROR(__xludf.DUMMYFUNCTION("""COMPUTED_VALUE"""),125.73)</f>
        <v>125.73</v>
      </c>
      <c r="C1940" s="1">
        <f>IFERROR(__xludf.DUMMYFUNCTION("""COMPUTED_VALUE"""),127.32)</f>
        <v>127.32</v>
      </c>
      <c r="D1940" s="1">
        <f>IFERROR(__xludf.DUMMYFUNCTION("""COMPUTED_VALUE"""),124.9)</f>
        <v>124.9</v>
      </c>
      <c r="E1940" s="1">
        <f>IFERROR(__xludf.DUMMYFUNCTION("""COMPUTED_VALUE"""),126.45)</f>
        <v>126.45</v>
      </c>
      <c r="F1940" s="1">
        <f>IFERROR(__xludf.DUMMYFUNCTION("""COMPUTED_VALUE"""),47405.0)</f>
        <v>47405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IFERROR(__xludf.DUMMYFUNCTION("""COMPUTED_VALUE"""),126.79)</f>
        <v>126.79</v>
      </c>
      <c r="C1941" s="1">
        <f>IFERROR(__xludf.DUMMYFUNCTION("""COMPUTED_VALUE"""),128.34)</f>
        <v>128.34</v>
      </c>
      <c r="D1941" s="1">
        <f>IFERROR(__xludf.DUMMYFUNCTION("""COMPUTED_VALUE"""),125.38)</f>
        <v>125.38</v>
      </c>
      <c r="E1941" s="1">
        <f>IFERROR(__xludf.DUMMYFUNCTION("""COMPUTED_VALUE"""),127.97)</f>
        <v>127.97</v>
      </c>
      <c r="F1941" s="1">
        <f>IFERROR(__xludf.DUMMYFUNCTION("""COMPUTED_VALUE"""),142932.0)</f>
        <v>142932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IFERROR(__xludf.DUMMYFUNCTION("""COMPUTED_VALUE"""),127.96)</f>
        <v>127.96</v>
      </c>
      <c r="C1942" s="1">
        <f>IFERROR(__xludf.DUMMYFUNCTION("""COMPUTED_VALUE"""),129.33)</f>
        <v>129.33</v>
      </c>
      <c r="D1942" s="1">
        <f>IFERROR(__xludf.DUMMYFUNCTION("""COMPUTED_VALUE"""),127.5)</f>
        <v>127.5</v>
      </c>
      <c r="E1942" s="1">
        <f>IFERROR(__xludf.DUMMYFUNCTION("""COMPUTED_VALUE"""),128.78)</f>
        <v>128.78</v>
      </c>
      <c r="F1942" s="1">
        <f>IFERROR(__xludf.DUMMYFUNCTION("""COMPUTED_VALUE"""),70931.0)</f>
        <v>70931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IFERROR(__xludf.DUMMYFUNCTION("""COMPUTED_VALUE"""),128.63)</f>
        <v>128.63</v>
      </c>
      <c r="C1943" s="1">
        <f>IFERROR(__xludf.DUMMYFUNCTION("""COMPUTED_VALUE"""),129.32)</f>
        <v>129.32</v>
      </c>
      <c r="D1943" s="1">
        <f>IFERROR(__xludf.DUMMYFUNCTION("""COMPUTED_VALUE"""),127.83)</f>
        <v>127.83</v>
      </c>
      <c r="E1943" s="1">
        <f>IFERROR(__xludf.DUMMYFUNCTION("""COMPUTED_VALUE"""),128.33)</f>
        <v>128.33</v>
      </c>
      <c r="F1943" s="1">
        <f>IFERROR(__xludf.DUMMYFUNCTION("""COMPUTED_VALUE"""),45279.0)</f>
        <v>45279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IFERROR(__xludf.DUMMYFUNCTION("""COMPUTED_VALUE"""),128.05)</f>
        <v>128.05</v>
      </c>
      <c r="C1944" s="1">
        <f>IFERROR(__xludf.DUMMYFUNCTION("""COMPUTED_VALUE"""),128.44)</f>
        <v>128.44</v>
      </c>
      <c r="D1944" s="1">
        <f>IFERROR(__xludf.DUMMYFUNCTION("""COMPUTED_VALUE"""),127.19)</f>
        <v>127.19</v>
      </c>
      <c r="E1944" s="1">
        <f>IFERROR(__xludf.DUMMYFUNCTION("""COMPUTED_VALUE"""),128.08)</f>
        <v>128.08</v>
      </c>
      <c r="F1944" s="1">
        <f>IFERROR(__xludf.DUMMYFUNCTION("""COMPUTED_VALUE"""),53688.0)</f>
        <v>53688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IFERROR(__xludf.DUMMYFUNCTION("""COMPUTED_VALUE"""),128.17)</f>
        <v>128.17</v>
      </c>
      <c r="C1945" s="1">
        <f>IFERROR(__xludf.DUMMYFUNCTION("""COMPUTED_VALUE"""),128.75)</f>
        <v>128.75</v>
      </c>
      <c r="D1945" s="1">
        <f>IFERROR(__xludf.DUMMYFUNCTION("""COMPUTED_VALUE"""),127.41)</f>
        <v>127.41</v>
      </c>
      <c r="E1945" s="1">
        <f>IFERROR(__xludf.DUMMYFUNCTION("""COMPUTED_VALUE"""),127.57)</f>
        <v>127.57</v>
      </c>
      <c r="F1945" s="1">
        <f>IFERROR(__xludf.DUMMYFUNCTION("""COMPUTED_VALUE"""),55233.0)</f>
        <v>55233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IFERROR(__xludf.DUMMYFUNCTION("""COMPUTED_VALUE"""),127.94)</f>
        <v>127.94</v>
      </c>
      <c r="C1946" s="1">
        <f>IFERROR(__xludf.DUMMYFUNCTION("""COMPUTED_VALUE"""),129.01)</f>
        <v>129.01</v>
      </c>
      <c r="D1946" s="1">
        <f>IFERROR(__xludf.DUMMYFUNCTION("""COMPUTED_VALUE"""),127.9)</f>
        <v>127.9</v>
      </c>
      <c r="E1946" s="1">
        <f>IFERROR(__xludf.DUMMYFUNCTION("""COMPUTED_VALUE"""),128.73)</f>
        <v>128.73</v>
      </c>
      <c r="F1946" s="1">
        <f>IFERROR(__xludf.DUMMYFUNCTION("""COMPUTED_VALUE"""),71346.0)</f>
        <v>71346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IFERROR(__xludf.DUMMYFUNCTION("""COMPUTED_VALUE"""),128.99)</f>
        <v>128.99</v>
      </c>
      <c r="C1947" s="1">
        <f>IFERROR(__xludf.DUMMYFUNCTION("""COMPUTED_VALUE"""),129.1)</f>
        <v>129.1</v>
      </c>
      <c r="D1947" s="1">
        <f>IFERROR(__xludf.DUMMYFUNCTION("""COMPUTED_VALUE"""),128.04)</f>
        <v>128.04</v>
      </c>
      <c r="E1947" s="1">
        <f>IFERROR(__xludf.DUMMYFUNCTION("""COMPUTED_VALUE"""),128.78)</f>
        <v>128.78</v>
      </c>
      <c r="F1947" s="1">
        <f>IFERROR(__xludf.DUMMYFUNCTION("""COMPUTED_VALUE"""),70319.0)</f>
        <v>70319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IFERROR(__xludf.DUMMYFUNCTION("""COMPUTED_VALUE"""),128.72)</f>
        <v>128.72</v>
      </c>
      <c r="C1948" s="1">
        <f>IFERROR(__xludf.DUMMYFUNCTION("""COMPUTED_VALUE"""),130.24)</f>
        <v>130.24</v>
      </c>
      <c r="D1948" s="1">
        <f>IFERROR(__xludf.DUMMYFUNCTION("""COMPUTED_VALUE"""),126.93)</f>
        <v>126.93</v>
      </c>
      <c r="E1948" s="1">
        <f>IFERROR(__xludf.DUMMYFUNCTION("""COMPUTED_VALUE"""),129.78)</f>
        <v>129.78</v>
      </c>
      <c r="F1948" s="1">
        <f>IFERROR(__xludf.DUMMYFUNCTION("""COMPUTED_VALUE"""),48643.0)</f>
        <v>48643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IFERROR(__xludf.DUMMYFUNCTION("""COMPUTED_VALUE"""),129.54)</f>
        <v>129.54</v>
      </c>
      <c r="C1949" s="1">
        <f>IFERROR(__xludf.DUMMYFUNCTION("""COMPUTED_VALUE"""),130.67)</f>
        <v>130.67</v>
      </c>
      <c r="D1949" s="1">
        <f>IFERROR(__xludf.DUMMYFUNCTION("""COMPUTED_VALUE"""),127.88)</f>
        <v>127.88</v>
      </c>
      <c r="E1949" s="1">
        <f>IFERROR(__xludf.DUMMYFUNCTION("""COMPUTED_VALUE"""),130.36)</f>
        <v>130.36</v>
      </c>
      <c r="F1949" s="1">
        <f>IFERROR(__xludf.DUMMYFUNCTION("""COMPUTED_VALUE"""),71683.0)</f>
        <v>71683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IFERROR(__xludf.DUMMYFUNCTION("""COMPUTED_VALUE"""),130.18)</f>
        <v>130.18</v>
      </c>
      <c r="C1950" s="1">
        <f>IFERROR(__xludf.DUMMYFUNCTION("""COMPUTED_VALUE"""),131.55)</f>
        <v>131.55</v>
      </c>
      <c r="D1950" s="1">
        <f>IFERROR(__xludf.DUMMYFUNCTION("""COMPUTED_VALUE"""),129.9)</f>
        <v>129.9</v>
      </c>
      <c r="E1950" s="1">
        <f>IFERROR(__xludf.DUMMYFUNCTION("""COMPUTED_VALUE"""),130.53)</f>
        <v>130.53</v>
      </c>
      <c r="F1950" s="1">
        <f>IFERROR(__xludf.DUMMYFUNCTION("""COMPUTED_VALUE"""),48419.0)</f>
        <v>48419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IFERROR(__xludf.DUMMYFUNCTION("""COMPUTED_VALUE"""),130.61)</f>
        <v>130.61</v>
      </c>
      <c r="C1951" s="1">
        <f>IFERROR(__xludf.DUMMYFUNCTION("""COMPUTED_VALUE"""),132.62)</f>
        <v>132.62</v>
      </c>
      <c r="D1951" s="1">
        <f>IFERROR(__xludf.DUMMYFUNCTION("""COMPUTED_VALUE"""),130.27)</f>
        <v>130.27</v>
      </c>
      <c r="E1951" s="1">
        <f>IFERROR(__xludf.DUMMYFUNCTION("""COMPUTED_VALUE"""),131.3)</f>
        <v>131.3</v>
      </c>
      <c r="F1951" s="1">
        <f>IFERROR(__xludf.DUMMYFUNCTION("""COMPUTED_VALUE"""),62756.0)</f>
        <v>62756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IFERROR(__xludf.DUMMYFUNCTION("""COMPUTED_VALUE"""),131.68)</f>
        <v>131.68</v>
      </c>
      <c r="C1952" s="1">
        <f>IFERROR(__xludf.DUMMYFUNCTION("""COMPUTED_VALUE"""),133.74)</f>
        <v>133.74</v>
      </c>
      <c r="D1952" s="1">
        <f>IFERROR(__xludf.DUMMYFUNCTION("""COMPUTED_VALUE"""),131.68)</f>
        <v>131.68</v>
      </c>
      <c r="E1952" s="1">
        <f>IFERROR(__xludf.DUMMYFUNCTION("""COMPUTED_VALUE"""),132.53)</f>
        <v>132.53</v>
      </c>
      <c r="F1952" s="1">
        <f>IFERROR(__xludf.DUMMYFUNCTION("""COMPUTED_VALUE"""),90612.0)</f>
        <v>90612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IFERROR(__xludf.DUMMYFUNCTION("""COMPUTED_VALUE"""),133.05)</f>
        <v>133.05</v>
      </c>
      <c r="C1953" s="1">
        <f>IFERROR(__xludf.DUMMYFUNCTION("""COMPUTED_VALUE"""),133.5)</f>
        <v>133.5</v>
      </c>
      <c r="D1953" s="1">
        <f>IFERROR(__xludf.DUMMYFUNCTION("""COMPUTED_VALUE"""),131.31)</f>
        <v>131.31</v>
      </c>
      <c r="E1953" s="1">
        <f>IFERROR(__xludf.DUMMYFUNCTION("""COMPUTED_VALUE"""),132.65)</f>
        <v>132.65</v>
      </c>
      <c r="F1953" s="1">
        <f>IFERROR(__xludf.DUMMYFUNCTION("""COMPUTED_VALUE"""),61105.0)</f>
        <v>61105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IFERROR(__xludf.DUMMYFUNCTION("""COMPUTED_VALUE"""),132.97)</f>
        <v>132.97</v>
      </c>
      <c r="C1954" s="1">
        <f>IFERROR(__xludf.DUMMYFUNCTION("""COMPUTED_VALUE"""),133.74)</f>
        <v>133.74</v>
      </c>
      <c r="D1954" s="1">
        <f>IFERROR(__xludf.DUMMYFUNCTION("""COMPUTED_VALUE"""),131.88)</f>
        <v>131.88</v>
      </c>
      <c r="E1954" s="1">
        <f>IFERROR(__xludf.DUMMYFUNCTION("""COMPUTED_VALUE"""),133.01)</f>
        <v>133.01</v>
      </c>
      <c r="F1954" s="1">
        <f>IFERROR(__xludf.DUMMYFUNCTION("""COMPUTED_VALUE"""),37819.0)</f>
        <v>37819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IFERROR(__xludf.DUMMYFUNCTION("""COMPUTED_VALUE"""),133.58)</f>
        <v>133.58</v>
      </c>
      <c r="C1955" s="1">
        <f>IFERROR(__xludf.DUMMYFUNCTION("""COMPUTED_VALUE"""),133.62)</f>
        <v>133.62</v>
      </c>
      <c r="D1955" s="1">
        <f>IFERROR(__xludf.DUMMYFUNCTION("""COMPUTED_VALUE"""),131.81)</f>
        <v>131.81</v>
      </c>
      <c r="E1955" s="1">
        <f>IFERROR(__xludf.DUMMYFUNCTION("""COMPUTED_VALUE"""),131.95)</f>
        <v>131.95</v>
      </c>
      <c r="F1955" s="1">
        <f>IFERROR(__xludf.DUMMYFUNCTION("""COMPUTED_VALUE"""),76228.0)</f>
        <v>76228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IFERROR(__xludf.DUMMYFUNCTION("""COMPUTED_VALUE"""),132.02)</f>
        <v>132.02</v>
      </c>
      <c r="C1956" s="1">
        <f>IFERROR(__xludf.DUMMYFUNCTION("""COMPUTED_VALUE"""),133.02)</f>
        <v>133.02</v>
      </c>
      <c r="D1956" s="1">
        <f>IFERROR(__xludf.DUMMYFUNCTION("""COMPUTED_VALUE"""),131.11)</f>
        <v>131.11</v>
      </c>
      <c r="E1956" s="1">
        <f>IFERROR(__xludf.DUMMYFUNCTION("""COMPUTED_VALUE"""),131.86)</f>
        <v>131.86</v>
      </c>
      <c r="F1956" s="1">
        <f>IFERROR(__xludf.DUMMYFUNCTION("""COMPUTED_VALUE"""),45450.0)</f>
        <v>45450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IFERROR(__xludf.DUMMYFUNCTION("""COMPUTED_VALUE"""),131.66)</f>
        <v>131.66</v>
      </c>
      <c r="C1957" s="1">
        <f>IFERROR(__xludf.DUMMYFUNCTION("""COMPUTED_VALUE"""),132.17)</f>
        <v>132.17</v>
      </c>
      <c r="D1957" s="1">
        <f>IFERROR(__xludf.DUMMYFUNCTION("""COMPUTED_VALUE"""),130.45)</f>
        <v>130.45</v>
      </c>
      <c r="E1957" s="1">
        <f>IFERROR(__xludf.DUMMYFUNCTION("""COMPUTED_VALUE"""),130.54)</f>
        <v>130.54</v>
      </c>
      <c r="F1957" s="1">
        <f>IFERROR(__xludf.DUMMYFUNCTION("""COMPUTED_VALUE"""),45641.0)</f>
        <v>45641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IFERROR(__xludf.DUMMYFUNCTION("""COMPUTED_VALUE"""),131.24)</f>
        <v>131.24</v>
      </c>
      <c r="C1958" s="1">
        <f>IFERROR(__xludf.DUMMYFUNCTION("""COMPUTED_VALUE"""),131.7)</f>
        <v>131.7</v>
      </c>
      <c r="D1958" s="1">
        <f>IFERROR(__xludf.DUMMYFUNCTION("""COMPUTED_VALUE"""),130.7)</f>
        <v>130.7</v>
      </c>
      <c r="E1958" s="1">
        <f>IFERROR(__xludf.DUMMYFUNCTION("""COMPUTED_VALUE"""),131.43)</f>
        <v>131.43</v>
      </c>
      <c r="F1958" s="1">
        <f>IFERROR(__xludf.DUMMYFUNCTION("""COMPUTED_VALUE"""),44179.0)</f>
        <v>44179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IFERROR(__xludf.DUMMYFUNCTION("""COMPUTED_VALUE"""),131.42)</f>
        <v>131.42</v>
      </c>
      <c r="C1959" s="1">
        <f>IFERROR(__xludf.DUMMYFUNCTION("""COMPUTED_VALUE"""),132.35)</f>
        <v>132.35</v>
      </c>
      <c r="D1959" s="1">
        <f>IFERROR(__xludf.DUMMYFUNCTION("""COMPUTED_VALUE"""),131.07)</f>
        <v>131.07</v>
      </c>
      <c r="E1959" s="1">
        <f>IFERROR(__xludf.DUMMYFUNCTION("""COMPUTED_VALUE"""),131.12)</f>
        <v>131.12</v>
      </c>
      <c r="F1959" s="1">
        <f>IFERROR(__xludf.DUMMYFUNCTION("""COMPUTED_VALUE"""),48752.0)</f>
        <v>48752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IFERROR(__xludf.DUMMYFUNCTION("""COMPUTED_VALUE"""),131.21)</f>
        <v>131.21</v>
      </c>
      <c r="C1960" s="1">
        <f>IFERROR(__xludf.DUMMYFUNCTION("""COMPUTED_VALUE"""),132.47)</f>
        <v>132.47</v>
      </c>
      <c r="D1960" s="1">
        <f>IFERROR(__xludf.DUMMYFUNCTION("""COMPUTED_VALUE"""),131.19)</f>
        <v>131.19</v>
      </c>
      <c r="E1960" s="1">
        <f>IFERROR(__xludf.DUMMYFUNCTION("""COMPUTED_VALUE"""),131.92)</f>
        <v>131.92</v>
      </c>
      <c r="F1960" s="1">
        <f>IFERROR(__xludf.DUMMYFUNCTION("""COMPUTED_VALUE"""),68222.0)</f>
        <v>68222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IFERROR(__xludf.DUMMYFUNCTION("""COMPUTED_VALUE"""),131.91)</f>
        <v>131.91</v>
      </c>
      <c r="C1961" s="1">
        <f>IFERROR(__xludf.DUMMYFUNCTION("""COMPUTED_VALUE"""),132.61)</f>
        <v>132.61</v>
      </c>
      <c r="D1961" s="1">
        <f>IFERROR(__xludf.DUMMYFUNCTION("""COMPUTED_VALUE"""),131.01)</f>
        <v>131.01</v>
      </c>
      <c r="E1961" s="1">
        <f>IFERROR(__xludf.DUMMYFUNCTION("""COMPUTED_VALUE"""),131.4)</f>
        <v>131.4</v>
      </c>
      <c r="F1961" s="1">
        <f>IFERROR(__xludf.DUMMYFUNCTION("""COMPUTED_VALUE"""),50484.0)</f>
        <v>50484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IFERROR(__xludf.DUMMYFUNCTION("""COMPUTED_VALUE"""),131.41)</f>
        <v>131.41</v>
      </c>
      <c r="C1962" s="1">
        <f>IFERROR(__xludf.DUMMYFUNCTION("""COMPUTED_VALUE"""),132.2)</f>
        <v>132.2</v>
      </c>
      <c r="D1962" s="1">
        <f>IFERROR(__xludf.DUMMYFUNCTION("""COMPUTED_VALUE"""),130.98)</f>
        <v>130.98</v>
      </c>
      <c r="E1962" s="1">
        <f>IFERROR(__xludf.DUMMYFUNCTION("""COMPUTED_VALUE"""),131.58)</f>
        <v>131.58</v>
      </c>
      <c r="F1962" s="1">
        <f>IFERROR(__xludf.DUMMYFUNCTION("""COMPUTED_VALUE"""),38959.0)</f>
        <v>38959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IFERROR(__xludf.DUMMYFUNCTION("""COMPUTED_VALUE"""),132.67)</f>
        <v>132.67</v>
      </c>
      <c r="C1963" s="1">
        <f>IFERROR(__xludf.DUMMYFUNCTION("""COMPUTED_VALUE"""),132.67)</f>
        <v>132.67</v>
      </c>
      <c r="D1963" s="1">
        <f>IFERROR(__xludf.DUMMYFUNCTION("""COMPUTED_VALUE"""),129.91)</f>
        <v>129.91</v>
      </c>
      <c r="E1963" s="1">
        <f>IFERROR(__xludf.DUMMYFUNCTION("""COMPUTED_VALUE"""),130.66)</f>
        <v>130.66</v>
      </c>
      <c r="F1963" s="1">
        <f>IFERROR(__xludf.DUMMYFUNCTION("""COMPUTED_VALUE"""),61129.0)</f>
        <v>61129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IFERROR(__xludf.DUMMYFUNCTION("""COMPUTED_VALUE"""),130.67)</f>
        <v>130.67</v>
      </c>
      <c r="C1964" s="1">
        <f>IFERROR(__xludf.DUMMYFUNCTION("""COMPUTED_VALUE"""),132.5)</f>
        <v>132.5</v>
      </c>
      <c r="D1964" s="1">
        <f>IFERROR(__xludf.DUMMYFUNCTION("""COMPUTED_VALUE"""),130.18)</f>
        <v>130.18</v>
      </c>
      <c r="E1964" s="1">
        <f>IFERROR(__xludf.DUMMYFUNCTION("""COMPUTED_VALUE"""),132.25)</f>
        <v>132.25</v>
      </c>
      <c r="F1964" s="1">
        <f>IFERROR(__xludf.DUMMYFUNCTION("""COMPUTED_VALUE"""),51417.0)</f>
        <v>51417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IFERROR(__xludf.DUMMYFUNCTION("""COMPUTED_VALUE"""),132.01)</f>
        <v>132.01</v>
      </c>
      <c r="C1965" s="1">
        <f>IFERROR(__xludf.DUMMYFUNCTION("""COMPUTED_VALUE"""),133.19)</f>
        <v>133.19</v>
      </c>
      <c r="D1965" s="1">
        <f>IFERROR(__xludf.DUMMYFUNCTION("""COMPUTED_VALUE"""),130.51)</f>
        <v>130.51</v>
      </c>
      <c r="E1965" s="1">
        <f>IFERROR(__xludf.DUMMYFUNCTION("""COMPUTED_VALUE"""),131.02)</f>
        <v>131.02</v>
      </c>
      <c r="F1965" s="1">
        <f>IFERROR(__xludf.DUMMYFUNCTION("""COMPUTED_VALUE"""),42474.0)</f>
        <v>42474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IFERROR(__xludf.DUMMYFUNCTION("""COMPUTED_VALUE"""),131.63)</f>
        <v>131.63</v>
      </c>
      <c r="C1966" s="1">
        <f>IFERROR(__xludf.DUMMYFUNCTION("""COMPUTED_VALUE"""),132.19)</f>
        <v>132.19</v>
      </c>
      <c r="D1966" s="1">
        <f>IFERROR(__xludf.DUMMYFUNCTION("""COMPUTED_VALUE"""),130.83)</f>
        <v>130.83</v>
      </c>
      <c r="E1966" s="1">
        <f>IFERROR(__xludf.DUMMYFUNCTION("""COMPUTED_VALUE"""),131.05)</f>
        <v>131.05</v>
      </c>
      <c r="F1966" s="1">
        <f>IFERROR(__xludf.DUMMYFUNCTION("""COMPUTED_VALUE"""),43970.0)</f>
        <v>43970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IFERROR(__xludf.DUMMYFUNCTION("""COMPUTED_VALUE"""),131.06)</f>
        <v>131.06</v>
      </c>
      <c r="C1967" s="1">
        <f>IFERROR(__xludf.DUMMYFUNCTION("""COMPUTED_VALUE"""),131.06)</f>
        <v>131.06</v>
      </c>
      <c r="D1967" s="1">
        <f>IFERROR(__xludf.DUMMYFUNCTION("""COMPUTED_VALUE"""),129.5)</f>
        <v>129.5</v>
      </c>
      <c r="E1967" s="1">
        <f>IFERROR(__xludf.DUMMYFUNCTION("""COMPUTED_VALUE"""),130.23)</f>
        <v>130.23</v>
      </c>
      <c r="F1967" s="1">
        <f>IFERROR(__xludf.DUMMYFUNCTION("""COMPUTED_VALUE"""),30546.0)</f>
        <v>30546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IFERROR(__xludf.DUMMYFUNCTION("""COMPUTED_VALUE"""),130.4)</f>
        <v>130.4</v>
      </c>
      <c r="C1968" s="1">
        <f>IFERROR(__xludf.DUMMYFUNCTION("""COMPUTED_VALUE"""),130.88)</f>
        <v>130.88</v>
      </c>
      <c r="D1968" s="1">
        <f>IFERROR(__xludf.DUMMYFUNCTION("""COMPUTED_VALUE"""),129.32)</f>
        <v>129.32</v>
      </c>
      <c r="E1968" s="1">
        <f>IFERROR(__xludf.DUMMYFUNCTION("""COMPUTED_VALUE"""),129.93)</f>
        <v>129.93</v>
      </c>
      <c r="F1968" s="1">
        <f>IFERROR(__xludf.DUMMYFUNCTION("""COMPUTED_VALUE"""),44910.0)</f>
        <v>44910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IFERROR(__xludf.DUMMYFUNCTION("""COMPUTED_VALUE"""),129.7)</f>
        <v>129.7</v>
      </c>
      <c r="C1969" s="1">
        <f>IFERROR(__xludf.DUMMYFUNCTION("""COMPUTED_VALUE"""),131.87)</f>
        <v>131.87</v>
      </c>
      <c r="D1969" s="1">
        <f>IFERROR(__xludf.DUMMYFUNCTION("""COMPUTED_VALUE"""),129.0)</f>
        <v>129</v>
      </c>
      <c r="E1969" s="1">
        <f>IFERROR(__xludf.DUMMYFUNCTION("""COMPUTED_VALUE"""),131.55)</f>
        <v>131.55</v>
      </c>
      <c r="F1969" s="1">
        <f>IFERROR(__xludf.DUMMYFUNCTION("""COMPUTED_VALUE"""),41091.0)</f>
        <v>41091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IFERROR(__xludf.DUMMYFUNCTION("""COMPUTED_VALUE"""),131.64)</f>
        <v>131.64</v>
      </c>
      <c r="C1970" s="1">
        <f>IFERROR(__xludf.DUMMYFUNCTION("""COMPUTED_VALUE"""),132.84)</f>
        <v>132.84</v>
      </c>
      <c r="D1970" s="1">
        <f>IFERROR(__xludf.DUMMYFUNCTION("""COMPUTED_VALUE"""),131.4)</f>
        <v>131.4</v>
      </c>
      <c r="E1970" s="1">
        <f>IFERROR(__xludf.DUMMYFUNCTION("""COMPUTED_VALUE"""),132.65)</f>
        <v>132.65</v>
      </c>
      <c r="F1970" s="1">
        <f>IFERROR(__xludf.DUMMYFUNCTION("""COMPUTED_VALUE"""),43652.0)</f>
        <v>43652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IFERROR(__xludf.DUMMYFUNCTION("""COMPUTED_VALUE"""),132.55)</f>
        <v>132.55</v>
      </c>
      <c r="C1971" s="1">
        <f>IFERROR(__xludf.DUMMYFUNCTION("""COMPUTED_VALUE"""),133.7)</f>
        <v>133.7</v>
      </c>
      <c r="D1971" s="1">
        <f>IFERROR(__xludf.DUMMYFUNCTION("""COMPUTED_VALUE"""),131.64)</f>
        <v>131.64</v>
      </c>
      <c r="E1971" s="1">
        <f>IFERROR(__xludf.DUMMYFUNCTION("""COMPUTED_VALUE"""),133.51)</f>
        <v>133.51</v>
      </c>
      <c r="F1971" s="1">
        <f>IFERROR(__xludf.DUMMYFUNCTION("""COMPUTED_VALUE"""),43472.0)</f>
        <v>43472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IFERROR(__xludf.DUMMYFUNCTION("""COMPUTED_VALUE"""),133.17)</f>
        <v>133.17</v>
      </c>
      <c r="C1972" s="1">
        <f>IFERROR(__xludf.DUMMYFUNCTION("""COMPUTED_VALUE"""),133.17)</f>
        <v>133.17</v>
      </c>
      <c r="D1972" s="1">
        <f>IFERROR(__xludf.DUMMYFUNCTION("""COMPUTED_VALUE"""),129.77)</f>
        <v>129.77</v>
      </c>
      <c r="E1972" s="1">
        <f>IFERROR(__xludf.DUMMYFUNCTION("""COMPUTED_VALUE"""),130.09)</f>
        <v>130.09</v>
      </c>
      <c r="F1972" s="1">
        <f>IFERROR(__xludf.DUMMYFUNCTION("""COMPUTED_VALUE"""),49727.0)</f>
        <v>49727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IFERROR(__xludf.DUMMYFUNCTION("""COMPUTED_VALUE"""),130.41)</f>
        <v>130.41</v>
      </c>
      <c r="C1973" s="1">
        <f>IFERROR(__xludf.DUMMYFUNCTION("""COMPUTED_VALUE"""),133.52)</f>
        <v>133.52</v>
      </c>
      <c r="D1973" s="1">
        <f>IFERROR(__xludf.DUMMYFUNCTION("""COMPUTED_VALUE"""),130.41)</f>
        <v>130.41</v>
      </c>
      <c r="E1973" s="1">
        <f>IFERROR(__xludf.DUMMYFUNCTION("""COMPUTED_VALUE"""),133.17)</f>
        <v>133.17</v>
      </c>
      <c r="F1973" s="1">
        <f>IFERROR(__xludf.DUMMYFUNCTION("""COMPUTED_VALUE"""),83886.0)</f>
        <v>83886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IFERROR(__xludf.DUMMYFUNCTION("""COMPUTED_VALUE"""),133.46)</f>
        <v>133.46</v>
      </c>
      <c r="C1974" s="1">
        <f>IFERROR(__xludf.DUMMYFUNCTION("""COMPUTED_VALUE"""),134.54)</f>
        <v>134.54</v>
      </c>
      <c r="D1974" s="1">
        <f>IFERROR(__xludf.DUMMYFUNCTION("""COMPUTED_VALUE"""),131.9)</f>
        <v>131.9</v>
      </c>
      <c r="E1974" s="1">
        <f>IFERROR(__xludf.DUMMYFUNCTION("""COMPUTED_VALUE"""),132.28)</f>
        <v>132.28</v>
      </c>
      <c r="F1974" s="1">
        <f>IFERROR(__xludf.DUMMYFUNCTION("""COMPUTED_VALUE"""),34075.0)</f>
        <v>34075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IFERROR(__xludf.DUMMYFUNCTION("""COMPUTED_VALUE"""),131.91)</f>
        <v>131.91</v>
      </c>
      <c r="C1975" s="1">
        <f>IFERROR(__xludf.DUMMYFUNCTION("""COMPUTED_VALUE"""),131.94)</f>
        <v>131.94</v>
      </c>
      <c r="D1975" s="1">
        <f>IFERROR(__xludf.DUMMYFUNCTION("""COMPUTED_VALUE"""),130.71)</f>
        <v>130.71</v>
      </c>
      <c r="E1975" s="1">
        <f>IFERROR(__xludf.DUMMYFUNCTION("""COMPUTED_VALUE"""),131.11)</f>
        <v>131.11</v>
      </c>
      <c r="F1975" s="1">
        <f>IFERROR(__xludf.DUMMYFUNCTION("""COMPUTED_VALUE"""),40693.0)</f>
        <v>40693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IFERROR(__xludf.DUMMYFUNCTION("""COMPUTED_VALUE"""),130.69)</f>
        <v>130.69</v>
      </c>
      <c r="C1976" s="1">
        <f>IFERROR(__xludf.DUMMYFUNCTION("""COMPUTED_VALUE"""),132.21)</f>
        <v>132.21</v>
      </c>
      <c r="D1976" s="1">
        <f>IFERROR(__xludf.DUMMYFUNCTION("""COMPUTED_VALUE"""),129.52)</f>
        <v>129.52</v>
      </c>
      <c r="E1976" s="1">
        <f>IFERROR(__xludf.DUMMYFUNCTION("""COMPUTED_VALUE"""),131.36)</f>
        <v>131.36</v>
      </c>
      <c r="F1976" s="1">
        <f>IFERROR(__xludf.DUMMYFUNCTION("""COMPUTED_VALUE"""),46304.0)</f>
        <v>46304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IFERROR(__xludf.DUMMYFUNCTION("""COMPUTED_VALUE"""),131.36)</f>
        <v>131.36</v>
      </c>
      <c r="C1977" s="1">
        <f>IFERROR(__xludf.DUMMYFUNCTION("""COMPUTED_VALUE"""),132.0)</f>
        <v>132</v>
      </c>
      <c r="D1977" s="1">
        <f>IFERROR(__xludf.DUMMYFUNCTION("""COMPUTED_VALUE"""),129.62)</f>
        <v>129.62</v>
      </c>
      <c r="E1977" s="1">
        <f>IFERROR(__xludf.DUMMYFUNCTION("""COMPUTED_VALUE"""),130.52)</f>
        <v>130.52</v>
      </c>
      <c r="F1977" s="1">
        <f>IFERROR(__xludf.DUMMYFUNCTION("""COMPUTED_VALUE"""),31473.0)</f>
        <v>31473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IFERROR(__xludf.DUMMYFUNCTION("""COMPUTED_VALUE"""),130.42)</f>
        <v>130.42</v>
      </c>
      <c r="C1978" s="1">
        <f>IFERROR(__xludf.DUMMYFUNCTION("""COMPUTED_VALUE"""),130.56)</f>
        <v>130.56</v>
      </c>
      <c r="D1978" s="1">
        <f>IFERROR(__xludf.DUMMYFUNCTION("""COMPUTED_VALUE"""),127.12)</f>
        <v>127.12</v>
      </c>
      <c r="E1978" s="1">
        <f>IFERROR(__xludf.DUMMYFUNCTION("""COMPUTED_VALUE"""),127.39)</f>
        <v>127.39</v>
      </c>
      <c r="F1978" s="1">
        <f>IFERROR(__xludf.DUMMYFUNCTION("""COMPUTED_VALUE"""),68451.0)</f>
        <v>68451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IFERROR(__xludf.DUMMYFUNCTION("""COMPUTED_VALUE"""),127.08)</f>
        <v>127.08</v>
      </c>
      <c r="C1979" s="1">
        <f>IFERROR(__xludf.DUMMYFUNCTION("""COMPUTED_VALUE"""),129.74)</f>
        <v>129.74</v>
      </c>
      <c r="D1979" s="1">
        <f>IFERROR(__xludf.DUMMYFUNCTION("""COMPUTED_VALUE"""),127.08)</f>
        <v>127.08</v>
      </c>
      <c r="E1979" s="1">
        <f>IFERROR(__xludf.DUMMYFUNCTION("""COMPUTED_VALUE"""),129.42)</f>
        <v>129.42</v>
      </c>
      <c r="F1979" s="1">
        <f>IFERROR(__xludf.DUMMYFUNCTION("""COMPUTED_VALUE"""),61692.0)</f>
        <v>61692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IFERROR(__xludf.DUMMYFUNCTION("""COMPUTED_VALUE"""),129.11)</f>
        <v>129.11</v>
      </c>
      <c r="C1980" s="1">
        <f>IFERROR(__xludf.DUMMYFUNCTION("""COMPUTED_VALUE"""),133.72)</f>
        <v>133.72</v>
      </c>
      <c r="D1980" s="1">
        <f>IFERROR(__xludf.DUMMYFUNCTION("""COMPUTED_VALUE"""),127.0)</f>
        <v>127</v>
      </c>
      <c r="E1980" s="1">
        <f>IFERROR(__xludf.DUMMYFUNCTION("""COMPUTED_VALUE"""),128.56)</f>
        <v>128.56</v>
      </c>
      <c r="F1980" s="1">
        <f>IFERROR(__xludf.DUMMYFUNCTION("""COMPUTED_VALUE"""),54807.0)</f>
        <v>54807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IFERROR(__xludf.DUMMYFUNCTION("""COMPUTED_VALUE"""),132.5)</f>
        <v>132.5</v>
      </c>
      <c r="C1981" s="1">
        <f>IFERROR(__xludf.DUMMYFUNCTION("""COMPUTED_VALUE"""),136.51)</f>
        <v>136.51</v>
      </c>
      <c r="D1981" s="1">
        <f>IFERROR(__xludf.DUMMYFUNCTION("""COMPUTED_VALUE"""),129.76)</f>
        <v>129.76</v>
      </c>
      <c r="E1981" s="1">
        <f>IFERROR(__xludf.DUMMYFUNCTION("""COMPUTED_VALUE"""),134.9)</f>
        <v>134.9</v>
      </c>
      <c r="F1981" s="1">
        <f>IFERROR(__xludf.DUMMYFUNCTION("""COMPUTED_VALUE"""),129094.0)</f>
        <v>129094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IFERROR(__xludf.DUMMYFUNCTION("""COMPUTED_VALUE"""),135.13)</f>
        <v>135.13</v>
      </c>
      <c r="C1982" s="1">
        <f>IFERROR(__xludf.DUMMYFUNCTION("""COMPUTED_VALUE"""),137.95)</f>
        <v>137.95</v>
      </c>
      <c r="D1982" s="1">
        <f>IFERROR(__xludf.DUMMYFUNCTION("""COMPUTED_VALUE"""),135.03)</f>
        <v>135.03</v>
      </c>
      <c r="E1982" s="1">
        <f>IFERROR(__xludf.DUMMYFUNCTION("""COMPUTED_VALUE"""),137.45)</f>
        <v>137.45</v>
      </c>
      <c r="F1982" s="1">
        <f>IFERROR(__xludf.DUMMYFUNCTION("""COMPUTED_VALUE"""),67716.0)</f>
        <v>67716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IFERROR(__xludf.DUMMYFUNCTION("""COMPUTED_VALUE"""),137.43)</f>
        <v>137.43</v>
      </c>
      <c r="C1983" s="1">
        <f>IFERROR(__xludf.DUMMYFUNCTION("""COMPUTED_VALUE"""),140.71)</f>
        <v>140.71</v>
      </c>
      <c r="D1983" s="1">
        <f>IFERROR(__xludf.DUMMYFUNCTION("""COMPUTED_VALUE"""),137.43)</f>
        <v>137.43</v>
      </c>
      <c r="E1983" s="1">
        <f>IFERROR(__xludf.DUMMYFUNCTION("""COMPUTED_VALUE"""),140.44)</f>
        <v>140.44</v>
      </c>
      <c r="F1983" s="1">
        <f>IFERROR(__xludf.DUMMYFUNCTION("""COMPUTED_VALUE"""),59105.0)</f>
        <v>59105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IFERROR(__xludf.DUMMYFUNCTION("""COMPUTED_VALUE"""),139.54)</f>
        <v>139.54</v>
      </c>
      <c r="C1984" s="1">
        <f>IFERROR(__xludf.DUMMYFUNCTION("""COMPUTED_VALUE"""),140.74)</f>
        <v>140.74</v>
      </c>
      <c r="D1984" s="1">
        <f>IFERROR(__xludf.DUMMYFUNCTION("""COMPUTED_VALUE"""),136.38)</f>
        <v>136.38</v>
      </c>
      <c r="E1984" s="1">
        <f>IFERROR(__xludf.DUMMYFUNCTION("""COMPUTED_VALUE"""),139.78)</f>
        <v>139.78</v>
      </c>
      <c r="F1984" s="1">
        <f>IFERROR(__xludf.DUMMYFUNCTION("""COMPUTED_VALUE"""),71630.0)</f>
        <v>71630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IFERROR(__xludf.DUMMYFUNCTION("""COMPUTED_VALUE"""),140.15)</f>
        <v>140.15</v>
      </c>
      <c r="C1985" s="1">
        <f>IFERROR(__xludf.DUMMYFUNCTION("""COMPUTED_VALUE"""),145.66)</f>
        <v>145.66</v>
      </c>
      <c r="D1985" s="1">
        <f>IFERROR(__xludf.DUMMYFUNCTION("""COMPUTED_VALUE"""),138.15)</f>
        <v>138.15</v>
      </c>
      <c r="E1985" s="1">
        <f>IFERROR(__xludf.DUMMYFUNCTION("""COMPUTED_VALUE"""),144.42)</f>
        <v>144.42</v>
      </c>
      <c r="F1985" s="1">
        <f>IFERROR(__xludf.DUMMYFUNCTION("""COMPUTED_VALUE"""),70876.0)</f>
        <v>70876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IFERROR(__xludf.DUMMYFUNCTION("""COMPUTED_VALUE"""),143.42)</f>
        <v>143.42</v>
      </c>
      <c r="C1986" s="1">
        <f>IFERROR(__xludf.DUMMYFUNCTION("""COMPUTED_VALUE"""),145.83)</f>
        <v>145.83</v>
      </c>
      <c r="D1986" s="1">
        <f>IFERROR(__xludf.DUMMYFUNCTION("""COMPUTED_VALUE"""),143.32)</f>
        <v>143.32</v>
      </c>
      <c r="E1986" s="1">
        <f>IFERROR(__xludf.DUMMYFUNCTION("""COMPUTED_VALUE"""),144.03)</f>
        <v>144.03</v>
      </c>
      <c r="F1986" s="1">
        <f>IFERROR(__xludf.DUMMYFUNCTION("""COMPUTED_VALUE"""),69057.0)</f>
        <v>69057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IFERROR(__xludf.DUMMYFUNCTION("""COMPUTED_VALUE"""),143.87)</f>
        <v>143.87</v>
      </c>
      <c r="C1987" s="1">
        <f>IFERROR(__xludf.DUMMYFUNCTION("""COMPUTED_VALUE"""),147.66)</f>
        <v>147.66</v>
      </c>
      <c r="D1987" s="1">
        <f>IFERROR(__xludf.DUMMYFUNCTION("""COMPUTED_VALUE"""),143.87)</f>
        <v>143.87</v>
      </c>
      <c r="E1987" s="1">
        <f>IFERROR(__xludf.DUMMYFUNCTION("""COMPUTED_VALUE"""),146.07)</f>
        <v>146.07</v>
      </c>
      <c r="F1987" s="1">
        <f>IFERROR(__xludf.DUMMYFUNCTION("""COMPUTED_VALUE"""),65105.0)</f>
        <v>65105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IFERROR(__xludf.DUMMYFUNCTION("""COMPUTED_VALUE"""),146.08)</f>
        <v>146.08</v>
      </c>
      <c r="C1988" s="1">
        <f>IFERROR(__xludf.DUMMYFUNCTION("""COMPUTED_VALUE"""),148.36)</f>
        <v>148.36</v>
      </c>
      <c r="D1988" s="1">
        <f>IFERROR(__xludf.DUMMYFUNCTION("""COMPUTED_VALUE"""),145.79)</f>
        <v>145.79</v>
      </c>
      <c r="E1988" s="1">
        <f>IFERROR(__xludf.DUMMYFUNCTION("""COMPUTED_VALUE"""),147.66)</f>
        <v>147.66</v>
      </c>
      <c r="F1988" s="1">
        <f>IFERROR(__xludf.DUMMYFUNCTION("""COMPUTED_VALUE"""),68485.0)</f>
        <v>68485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IFERROR(__xludf.DUMMYFUNCTION("""COMPUTED_VALUE"""),147.88)</f>
        <v>147.88</v>
      </c>
      <c r="C1989" s="1">
        <f>IFERROR(__xludf.DUMMYFUNCTION("""COMPUTED_VALUE"""),147.92)</f>
        <v>147.92</v>
      </c>
      <c r="D1989" s="1">
        <f>IFERROR(__xludf.DUMMYFUNCTION("""COMPUTED_VALUE"""),145.63)</f>
        <v>145.63</v>
      </c>
      <c r="E1989" s="1">
        <f>IFERROR(__xludf.DUMMYFUNCTION("""COMPUTED_VALUE"""),145.8)</f>
        <v>145.8</v>
      </c>
      <c r="F1989" s="1">
        <f>IFERROR(__xludf.DUMMYFUNCTION("""COMPUTED_VALUE"""),35628.0)</f>
        <v>35628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IFERROR(__xludf.DUMMYFUNCTION("""COMPUTED_VALUE"""),145.79)</f>
        <v>145.79</v>
      </c>
      <c r="C1990" s="1">
        <f>IFERROR(__xludf.DUMMYFUNCTION("""COMPUTED_VALUE"""),146.62)</f>
        <v>146.62</v>
      </c>
      <c r="D1990" s="1">
        <f>IFERROR(__xludf.DUMMYFUNCTION("""COMPUTED_VALUE"""),144.61)</f>
        <v>144.61</v>
      </c>
      <c r="E1990" s="1">
        <f>IFERROR(__xludf.DUMMYFUNCTION("""COMPUTED_VALUE"""),146.0)</f>
        <v>146</v>
      </c>
      <c r="F1990" s="1">
        <f>IFERROR(__xludf.DUMMYFUNCTION("""COMPUTED_VALUE"""),37082.0)</f>
        <v>37082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IFERROR(__xludf.DUMMYFUNCTION("""COMPUTED_VALUE"""),146.02)</f>
        <v>146.02</v>
      </c>
      <c r="C1991" s="1">
        <f>IFERROR(__xludf.DUMMYFUNCTION("""COMPUTED_VALUE"""),147.57)</f>
        <v>147.57</v>
      </c>
      <c r="D1991" s="1">
        <f>IFERROR(__xludf.DUMMYFUNCTION("""COMPUTED_VALUE"""),145.25)</f>
        <v>145.25</v>
      </c>
      <c r="E1991" s="1">
        <f>IFERROR(__xludf.DUMMYFUNCTION("""COMPUTED_VALUE"""),146.03)</f>
        <v>146.03</v>
      </c>
      <c r="F1991" s="1">
        <f>IFERROR(__xludf.DUMMYFUNCTION("""COMPUTED_VALUE"""),98579.0)</f>
        <v>98579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IFERROR(__xludf.DUMMYFUNCTION("""COMPUTED_VALUE"""),146.1)</f>
        <v>146.1</v>
      </c>
      <c r="C1992" s="1">
        <f>IFERROR(__xludf.DUMMYFUNCTION("""COMPUTED_VALUE"""),148.85)</f>
        <v>148.85</v>
      </c>
      <c r="D1992" s="1">
        <f>IFERROR(__xludf.DUMMYFUNCTION("""COMPUTED_VALUE"""),145.85)</f>
        <v>145.85</v>
      </c>
      <c r="E1992" s="1">
        <f>IFERROR(__xludf.DUMMYFUNCTION("""COMPUTED_VALUE"""),148.49)</f>
        <v>148.49</v>
      </c>
      <c r="F1992" s="1">
        <f>IFERROR(__xludf.DUMMYFUNCTION("""COMPUTED_VALUE"""),52622.0)</f>
        <v>52622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IFERROR(__xludf.DUMMYFUNCTION("""COMPUTED_VALUE"""),148.45)</f>
        <v>148.45</v>
      </c>
      <c r="C1993" s="1">
        <f>IFERROR(__xludf.DUMMYFUNCTION("""COMPUTED_VALUE"""),151.91)</f>
        <v>151.91</v>
      </c>
      <c r="D1993" s="1">
        <f>IFERROR(__xludf.DUMMYFUNCTION("""COMPUTED_VALUE"""),148.45)</f>
        <v>148.45</v>
      </c>
      <c r="E1993" s="1">
        <f>IFERROR(__xludf.DUMMYFUNCTION("""COMPUTED_VALUE"""),151.29)</f>
        <v>151.29</v>
      </c>
      <c r="F1993" s="1">
        <f>IFERROR(__xludf.DUMMYFUNCTION("""COMPUTED_VALUE"""),95108.0)</f>
        <v>95108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IFERROR(__xludf.DUMMYFUNCTION("""COMPUTED_VALUE"""),151.84)</f>
        <v>151.84</v>
      </c>
      <c r="C1994" s="1">
        <f>IFERROR(__xludf.DUMMYFUNCTION("""COMPUTED_VALUE"""),152.21)</f>
        <v>152.21</v>
      </c>
      <c r="D1994" s="1">
        <f>IFERROR(__xludf.DUMMYFUNCTION("""COMPUTED_VALUE"""),148.51)</f>
        <v>148.51</v>
      </c>
      <c r="E1994" s="1">
        <f>IFERROR(__xludf.DUMMYFUNCTION("""COMPUTED_VALUE"""),151.11)</f>
        <v>151.11</v>
      </c>
      <c r="F1994" s="1">
        <f>IFERROR(__xludf.DUMMYFUNCTION("""COMPUTED_VALUE"""),61393.0)</f>
        <v>61393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IFERROR(__xludf.DUMMYFUNCTION("""COMPUTED_VALUE"""),151.12)</f>
        <v>151.12</v>
      </c>
      <c r="C1995" s="1">
        <f>IFERROR(__xludf.DUMMYFUNCTION("""COMPUTED_VALUE"""),151.12)</f>
        <v>151.12</v>
      </c>
      <c r="D1995" s="1">
        <f>IFERROR(__xludf.DUMMYFUNCTION("""COMPUTED_VALUE"""),146.48)</f>
        <v>146.48</v>
      </c>
      <c r="E1995" s="1">
        <f>IFERROR(__xludf.DUMMYFUNCTION("""COMPUTED_VALUE"""),150.07)</f>
        <v>150.07</v>
      </c>
      <c r="F1995" s="1">
        <f>IFERROR(__xludf.DUMMYFUNCTION("""COMPUTED_VALUE"""),88953.0)</f>
        <v>88953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IFERROR(__xludf.DUMMYFUNCTION("""COMPUTED_VALUE"""),151.04)</f>
        <v>151.04</v>
      </c>
      <c r="C1996" s="1">
        <f>IFERROR(__xludf.DUMMYFUNCTION("""COMPUTED_VALUE"""),154.02)</f>
        <v>154.02</v>
      </c>
      <c r="D1996" s="1">
        <f>IFERROR(__xludf.DUMMYFUNCTION("""COMPUTED_VALUE"""),149.5)</f>
        <v>149.5</v>
      </c>
      <c r="E1996" s="1">
        <f>IFERROR(__xludf.DUMMYFUNCTION("""COMPUTED_VALUE"""),151.23)</f>
        <v>151.23</v>
      </c>
      <c r="F1996" s="1">
        <f>IFERROR(__xludf.DUMMYFUNCTION("""COMPUTED_VALUE"""),40489.0)</f>
        <v>40489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IFERROR(__xludf.DUMMYFUNCTION("""COMPUTED_VALUE"""),151.24)</f>
        <v>151.24</v>
      </c>
      <c r="C1997" s="1">
        <f>IFERROR(__xludf.DUMMYFUNCTION("""COMPUTED_VALUE"""),152.4)</f>
        <v>152.4</v>
      </c>
      <c r="D1997" s="1">
        <f>IFERROR(__xludf.DUMMYFUNCTION("""COMPUTED_VALUE"""),148.76)</f>
        <v>148.76</v>
      </c>
      <c r="E1997" s="1">
        <f>IFERROR(__xludf.DUMMYFUNCTION("""COMPUTED_VALUE"""),149.39)</f>
        <v>149.39</v>
      </c>
      <c r="F1997" s="1">
        <f>IFERROR(__xludf.DUMMYFUNCTION("""COMPUTED_VALUE"""),44050.0)</f>
        <v>44050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IFERROR(__xludf.DUMMYFUNCTION("""COMPUTED_VALUE"""),149.4)</f>
        <v>149.4</v>
      </c>
      <c r="C1998" s="1">
        <f>IFERROR(__xludf.DUMMYFUNCTION("""COMPUTED_VALUE"""),151.74)</f>
        <v>151.74</v>
      </c>
      <c r="D1998" s="1">
        <f>IFERROR(__xludf.DUMMYFUNCTION("""COMPUTED_VALUE"""),149.4)</f>
        <v>149.4</v>
      </c>
      <c r="E1998" s="1">
        <f>IFERROR(__xludf.DUMMYFUNCTION("""COMPUTED_VALUE"""),150.58)</f>
        <v>150.58</v>
      </c>
      <c r="F1998" s="1">
        <f>IFERROR(__xludf.DUMMYFUNCTION("""COMPUTED_VALUE"""),47722.0)</f>
        <v>47722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IFERROR(__xludf.DUMMYFUNCTION("""COMPUTED_VALUE"""),150.09)</f>
        <v>150.09</v>
      </c>
      <c r="C1999" s="1">
        <f>IFERROR(__xludf.DUMMYFUNCTION("""COMPUTED_VALUE"""),151.3)</f>
        <v>151.3</v>
      </c>
      <c r="D1999" s="1">
        <f>IFERROR(__xludf.DUMMYFUNCTION("""COMPUTED_VALUE"""),148.33)</f>
        <v>148.33</v>
      </c>
      <c r="E1999" s="1">
        <f>IFERROR(__xludf.DUMMYFUNCTION("""COMPUTED_VALUE"""),148.99)</f>
        <v>148.99</v>
      </c>
      <c r="F1999" s="1">
        <f>IFERROR(__xludf.DUMMYFUNCTION("""COMPUTED_VALUE"""),51614.0)</f>
        <v>51614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IFERROR(__xludf.DUMMYFUNCTION("""COMPUTED_VALUE"""),148.95)</f>
        <v>148.95</v>
      </c>
      <c r="C2000" s="1">
        <f>IFERROR(__xludf.DUMMYFUNCTION("""COMPUTED_VALUE"""),150.0)</f>
        <v>150</v>
      </c>
      <c r="D2000" s="1">
        <f>IFERROR(__xludf.DUMMYFUNCTION("""COMPUTED_VALUE"""),148.21)</f>
        <v>148.21</v>
      </c>
      <c r="E2000" s="1">
        <f>IFERROR(__xludf.DUMMYFUNCTION("""COMPUTED_VALUE"""),148.37)</f>
        <v>148.37</v>
      </c>
      <c r="F2000" s="1">
        <f>IFERROR(__xludf.DUMMYFUNCTION("""COMPUTED_VALUE"""),45901.0)</f>
        <v>45901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IFERROR(__xludf.DUMMYFUNCTION("""COMPUTED_VALUE"""),147.95)</f>
        <v>147.95</v>
      </c>
      <c r="C2001" s="1">
        <f>IFERROR(__xludf.DUMMYFUNCTION("""COMPUTED_VALUE"""),149.53)</f>
        <v>149.53</v>
      </c>
      <c r="D2001" s="1">
        <f>IFERROR(__xludf.DUMMYFUNCTION("""COMPUTED_VALUE"""),147.16)</f>
        <v>147.16</v>
      </c>
      <c r="E2001" s="1">
        <f>IFERROR(__xludf.DUMMYFUNCTION("""COMPUTED_VALUE"""),149.09)</f>
        <v>149.09</v>
      </c>
      <c r="F2001" s="1">
        <f>IFERROR(__xludf.DUMMYFUNCTION("""COMPUTED_VALUE"""),74778.0)</f>
        <v>74778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IFERROR(__xludf.DUMMYFUNCTION("""COMPUTED_VALUE"""),149.28)</f>
        <v>149.28</v>
      </c>
      <c r="C2002" s="1">
        <f>IFERROR(__xludf.DUMMYFUNCTION("""COMPUTED_VALUE"""),151.17)</f>
        <v>151.17</v>
      </c>
      <c r="D2002" s="1">
        <f>IFERROR(__xludf.DUMMYFUNCTION("""COMPUTED_VALUE"""),146.94)</f>
        <v>146.94</v>
      </c>
      <c r="E2002" s="1">
        <f>IFERROR(__xludf.DUMMYFUNCTION("""COMPUTED_VALUE"""),147.43)</f>
        <v>147.43</v>
      </c>
      <c r="F2002" s="1">
        <f>IFERROR(__xludf.DUMMYFUNCTION("""COMPUTED_VALUE"""),42169.0)</f>
        <v>42169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IFERROR(__xludf.DUMMYFUNCTION("""COMPUTED_VALUE"""),147.66)</f>
        <v>147.66</v>
      </c>
      <c r="C2003" s="1">
        <f>IFERROR(__xludf.DUMMYFUNCTION("""COMPUTED_VALUE"""),150.14)</f>
        <v>150.14</v>
      </c>
      <c r="D2003" s="1">
        <f>IFERROR(__xludf.DUMMYFUNCTION("""COMPUTED_VALUE"""),146.2)</f>
        <v>146.2</v>
      </c>
      <c r="E2003" s="1">
        <f>IFERROR(__xludf.DUMMYFUNCTION("""COMPUTED_VALUE"""),148.66)</f>
        <v>148.66</v>
      </c>
      <c r="F2003" s="1">
        <f>IFERROR(__xludf.DUMMYFUNCTION("""COMPUTED_VALUE"""),53859.0)</f>
        <v>53859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IFERROR(__xludf.DUMMYFUNCTION("""COMPUTED_VALUE"""),148.87)</f>
        <v>148.87</v>
      </c>
      <c r="C2004" s="1">
        <f>IFERROR(__xludf.DUMMYFUNCTION("""COMPUTED_VALUE"""),149.8)</f>
        <v>149.8</v>
      </c>
      <c r="D2004" s="1">
        <f>IFERROR(__xludf.DUMMYFUNCTION("""COMPUTED_VALUE"""),147.23)</f>
        <v>147.23</v>
      </c>
      <c r="E2004" s="1">
        <f>IFERROR(__xludf.DUMMYFUNCTION("""COMPUTED_VALUE"""),148.51)</f>
        <v>148.51</v>
      </c>
      <c r="F2004" s="1">
        <f>IFERROR(__xludf.DUMMYFUNCTION("""COMPUTED_VALUE"""),63016.0)</f>
        <v>63016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IFERROR(__xludf.DUMMYFUNCTION("""COMPUTED_VALUE"""),148.26)</f>
        <v>148.26</v>
      </c>
      <c r="C2005" s="1">
        <f>IFERROR(__xludf.DUMMYFUNCTION("""COMPUTED_VALUE"""),152.31)</f>
        <v>152.31</v>
      </c>
      <c r="D2005" s="1">
        <f>IFERROR(__xludf.DUMMYFUNCTION("""COMPUTED_VALUE"""),148.26)</f>
        <v>148.26</v>
      </c>
      <c r="E2005" s="1">
        <f>IFERROR(__xludf.DUMMYFUNCTION("""COMPUTED_VALUE"""),150.71)</f>
        <v>150.71</v>
      </c>
      <c r="F2005" s="1">
        <f>IFERROR(__xludf.DUMMYFUNCTION("""COMPUTED_VALUE"""),157014.0)</f>
        <v>157014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IFERROR(__xludf.DUMMYFUNCTION("""COMPUTED_VALUE"""),152.01)</f>
        <v>152.01</v>
      </c>
      <c r="C2006" s="1">
        <f>IFERROR(__xludf.DUMMYFUNCTION("""COMPUTED_VALUE"""),153.65)</f>
        <v>153.65</v>
      </c>
      <c r="D2006" s="1">
        <f>IFERROR(__xludf.DUMMYFUNCTION("""COMPUTED_VALUE"""),150.51)</f>
        <v>150.51</v>
      </c>
      <c r="E2006" s="1">
        <f>IFERROR(__xludf.DUMMYFUNCTION("""COMPUTED_VALUE"""),151.12)</f>
        <v>151.12</v>
      </c>
      <c r="F2006" s="1">
        <f>IFERROR(__xludf.DUMMYFUNCTION("""COMPUTED_VALUE"""),96460.0)</f>
        <v>96460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IFERROR(__xludf.DUMMYFUNCTION("""COMPUTED_VALUE"""),153.0)</f>
        <v>153</v>
      </c>
      <c r="C2007" s="1">
        <f>IFERROR(__xludf.DUMMYFUNCTION("""COMPUTED_VALUE"""),156.32)</f>
        <v>156.32</v>
      </c>
      <c r="D2007" s="1">
        <f>IFERROR(__xludf.DUMMYFUNCTION("""COMPUTED_VALUE"""),144.59)</f>
        <v>144.59</v>
      </c>
      <c r="E2007" s="1">
        <f>IFERROR(__xludf.DUMMYFUNCTION("""COMPUTED_VALUE"""),152.87)</f>
        <v>152.87</v>
      </c>
      <c r="F2007" s="1">
        <f>IFERROR(__xludf.DUMMYFUNCTION("""COMPUTED_VALUE"""),63376.0)</f>
        <v>63376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IFERROR(__xludf.DUMMYFUNCTION("""COMPUTED_VALUE"""),153.93)</f>
        <v>153.93</v>
      </c>
      <c r="C2008" s="1">
        <f>IFERROR(__xludf.DUMMYFUNCTION("""COMPUTED_VALUE"""),157.33)</f>
        <v>157.33</v>
      </c>
      <c r="D2008" s="1">
        <f>IFERROR(__xludf.DUMMYFUNCTION("""COMPUTED_VALUE"""),151.26)</f>
        <v>151.26</v>
      </c>
      <c r="E2008" s="1">
        <f>IFERROR(__xludf.DUMMYFUNCTION("""COMPUTED_VALUE"""),153.36)</f>
        <v>153.36</v>
      </c>
      <c r="F2008" s="1">
        <f>IFERROR(__xludf.DUMMYFUNCTION("""COMPUTED_VALUE"""),53234.0)</f>
        <v>53234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IFERROR(__xludf.DUMMYFUNCTION("""COMPUTED_VALUE"""),153.54)</f>
        <v>153.54</v>
      </c>
      <c r="C2009" s="1">
        <f>IFERROR(__xludf.DUMMYFUNCTION("""COMPUTED_VALUE"""),155.55)</f>
        <v>155.55</v>
      </c>
      <c r="D2009" s="1">
        <f>IFERROR(__xludf.DUMMYFUNCTION("""COMPUTED_VALUE"""),152.45)</f>
        <v>152.45</v>
      </c>
      <c r="E2009" s="1">
        <f>IFERROR(__xludf.DUMMYFUNCTION("""COMPUTED_VALUE"""),153.09)</f>
        <v>153.09</v>
      </c>
      <c r="F2009" s="1">
        <f>IFERROR(__xludf.DUMMYFUNCTION("""COMPUTED_VALUE"""),35940.0)</f>
        <v>35940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IFERROR(__xludf.DUMMYFUNCTION("""COMPUTED_VALUE"""),153.41)</f>
        <v>153.41</v>
      </c>
      <c r="C2010" s="1">
        <f>IFERROR(__xludf.DUMMYFUNCTION("""COMPUTED_VALUE"""),154.49)</f>
        <v>154.49</v>
      </c>
      <c r="D2010" s="1">
        <f>IFERROR(__xludf.DUMMYFUNCTION("""COMPUTED_VALUE"""),150.5)</f>
        <v>150.5</v>
      </c>
      <c r="E2010" s="1">
        <f>IFERROR(__xludf.DUMMYFUNCTION("""COMPUTED_VALUE"""),152.67)</f>
        <v>152.67</v>
      </c>
      <c r="F2010" s="1">
        <f>IFERROR(__xludf.DUMMYFUNCTION("""COMPUTED_VALUE"""),25888.0)</f>
        <v>25888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IFERROR(__xludf.DUMMYFUNCTION("""COMPUTED_VALUE"""),153.4)</f>
        <v>153.4</v>
      </c>
      <c r="C2011" s="1">
        <f>IFERROR(__xludf.DUMMYFUNCTION("""COMPUTED_VALUE"""),153.41)</f>
        <v>153.41</v>
      </c>
      <c r="D2011" s="1">
        <f>IFERROR(__xludf.DUMMYFUNCTION("""COMPUTED_VALUE"""),151.27)</f>
        <v>151.27</v>
      </c>
      <c r="E2011" s="1">
        <f>IFERROR(__xludf.DUMMYFUNCTION("""COMPUTED_VALUE"""),151.27)</f>
        <v>151.27</v>
      </c>
      <c r="F2011" s="1">
        <f>IFERROR(__xludf.DUMMYFUNCTION("""COMPUTED_VALUE"""),22053.0)</f>
        <v>22053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IFERROR(__xludf.DUMMYFUNCTION("""COMPUTED_VALUE"""),151.79)</f>
        <v>151.79</v>
      </c>
      <c r="C2012" s="1">
        <f>IFERROR(__xludf.DUMMYFUNCTION("""COMPUTED_VALUE"""),152.76)</f>
        <v>152.76</v>
      </c>
      <c r="D2012" s="1">
        <f>IFERROR(__xludf.DUMMYFUNCTION("""COMPUTED_VALUE"""),150.33)</f>
        <v>150.33</v>
      </c>
      <c r="E2012" s="1">
        <f>IFERROR(__xludf.DUMMYFUNCTION("""COMPUTED_VALUE"""),150.7)</f>
        <v>150.7</v>
      </c>
      <c r="F2012" s="1">
        <f>IFERROR(__xludf.DUMMYFUNCTION("""COMPUTED_VALUE"""),92560.0)</f>
        <v>92560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IFERROR(__xludf.DUMMYFUNCTION("""COMPUTED_VALUE"""),150.71)</f>
        <v>150.71</v>
      </c>
      <c r="C2013" s="1">
        <f>IFERROR(__xludf.DUMMYFUNCTION("""COMPUTED_VALUE"""),152.42)</f>
        <v>152.42</v>
      </c>
      <c r="D2013" s="1">
        <f>IFERROR(__xludf.DUMMYFUNCTION("""COMPUTED_VALUE"""),148.76)</f>
        <v>148.76</v>
      </c>
      <c r="E2013" s="1">
        <f>IFERROR(__xludf.DUMMYFUNCTION("""COMPUTED_VALUE"""),152.05)</f>
        <v>152.05</v>
      </c>
      <c r="F2013" s="1">
        <f>IFERROR(__xludf.DUMMYFUNCTION("""COMPUTED_VALUE"""),29547.0)</f>
        <v>29547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IFERROR(__xludf.DUMMYFUNCTION("""COMPUTED_VALUE"""),152.47)</f>
        <v>152.47</v>
      </c>
      <c r="C2014" s="1">
        <f>IFERROR(__xludf.DUMMYFUNCTION("""COMPUTED_VALUE"""),154.23)</f>
        <v>154.23</v>
      </c>
      <c r="D2014" s="1">
        <f>IFERROR(__xludf.DUMMYFUNCTION("""COMPUTED_VALUE"""),151.36)</f>
        <v>151.36</v>
      </c>
      <c r="E2014" s="1">
        <f>IFERROR(__xludf.DUMMYFUNCTION("""COMPUTED_VALUE"""),151.83)</f>
        <v>151.83</v>
      </c>
      <c r="F2014" s="1">
        <f>IFERROR(__xludf.DUMMYFUNCTION("""COMPUTED_VALUE"""),53323.0)</f>
        <v>53323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IFERROR(__xludf.DUMMYFUNCTION("""COMPUTED_VALUE"""),152.39)</f>
        <v>152.39</v>
      </c>
      <c r="C2015" s="1">
        <f>IFERROR(__xludf.DUMMYFUNCTION("""COMPUTED_VALUE"""),152.39)</f>
        <v>152.39</v>
      </c>
      <c r="D2015" s="1">
        <f>IFERROR(__xludf.DUMMYFUNCTION("""COMPUTED_VALUE"""),147.85)</f>
        <v>147.85</v>
      </c>
      <c r="E2015" s="1">
        <f>IFERROR(__xludf.DUMMYFUNCTION("""COMPUTED_VALUE"""),149.18)</f>
        <v>149.18</v>
      </c>
      <c r="F2015" s="1">
        <f>IFERROR(__xludf.DUMMYFUNCTION("""COMPUTED_VALUE"""),190618.0)</f>
        <v>190618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IFERROR(__xludf.DUMMYFUNCTION("""COMPUTED_VALUE"""),149.07)</f>
        <v>149.07</v>
      </c>
      <c r="C2016" s="1">
        <f>IFERROR(__xludf.DUMMYFUNCTION("""COMPUTED_VALUE"""),150.27)</f>
        <v>150.27</v>
      </c>
      <c r="D2016" s="1">
        <f>IFERROR(__xludf.DUMMYFUNCTION("""COMPUTED_VALUE"""),146.68)</f>
        <v>146.68</v>
      </c>
      <c r="E2016" s="1">
        <f>IFERROR(__xludf.DUMMYFUNCTION("""COMPUTED_VALUE"""),147.69)</f>
        <v>147.69</v>
      </c>
      <c r="F2016" s="1">
        <f>IFERROR(__xludf.DUMMYFUNCTION("""COMPUTED_VALUE"""),63693.0)</f>
        <v>63693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IFERROR(__xludf.DUMMYFUNCTION("""COMPUTED_VALUE"""),147.77)</f>
        <v>147.77</v>
      </c>
      <c r="C2017" s="1">
        <f>IFERROR(__xludf.DUMMYFUNCTION("""COMPUTED_VALUE"""),149.99)</f>
        <v>149.99</v>
      </c>
      <c r="D2017" s="1">
        <f>IFERROR(__xludf.DUMMYFUNCTION("""COMPUTED_VALUE"""),147.77)</f>
        <v>147.77</v>
      </c>
      <c r="E2017" s="1">
        <f>IFERROR(__xludf.DUMMYFUNCTION("""COMPUTED_VALUE"""),149.73)</f>
        <v>149.73</v>
      </c>
      <c r="F2017" s="1">
        <f>IFERROR(__xludf.DUMMYFUNCTION("""COMPUTED_VALUE"""),127552.0)</f>
        <v>127552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IFERROR(__xludf.DUMMYFUNCTION("""COMPUTED_VALUE"""),149.74)</f>
        <v>149.74</v>
      </c>
      <c r="C2018" s="1">
        <f>IFERROR(__xludf.DUMMYFUNCTION("""COMPUTED_VALUE"""),150.89)</f>
        <v>150.89</v>
      </c>
      <c r="D2018" s="1">
        <f>IFERROR(__xludf.DUMMYFUNCTION("""COMPUTED_VALUE"""),148.26)</f>
        <v>148.26</v>
      </c>
      <c r="E2018" s="1">
        <f>IFERROR(__xludf.DUMMYFUNCTION("""COMPUTED_VALUE"""),148.3)</f>
        <v>148.3</v>
      </c>
      <c r="F2018" s="1">
        <f>IFERROR(__xludf.DUMMYFUNCTION("""COMPUTED_VALUE"""),44647.0)</f>
        <v>44647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IFERROR(__xludf.DUMMYFUNCTION("""COMPUTED_VALUE"""),147.77)</f>
        <v>147.77</v>
      </c>
      <c r="C2019" s="1">
        <f>IFERROR(__xludf.DUMMYFUNCTION("""COMPUTED_VALUE"""),150.97)</f>
        <v>150.97</v>
      </c>
      <c r="D2019" s="1">
        <f>IFERROR(__xludf.DUMMYFUNCTION("""COMPUTED_VALUE"""),146.21)</f>
        <v>146.21</v>
      </c>
      <c r="E2019" s="1">
        <f>IFERROR(__xludf.DUMMYFUNCTION("""COMPUTED_VALUE"""),148.41)</f>
        <v>148.41</v>
      </c>
      <c r="F2019" s="1">
        <f>IFERROR(__xludf.DUMMYFUNCTION("""COMPUTED_VALUE"""),55014.0)</f>
        <v>55014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IFERROR(__xludf.DUMMYFUNCTION("""COMPUTED_VALUE"""),148.31)</f>
        <v>148.31</v>
      </c>
      <c r="C2020" s="1">
        <f>IFERROR(__xludf.DUMMYFUNCTION("""COMPUTED_VALUE"""),149.37)</f>
        <v>149.37</v>
      </c>
      <c r="D2020" s="1">
        <f>IFERROR(__xludf.DUMMYFUNCTION("""COMPUTED_VALUE"""),147.28)</f>
        <v>147.28</v>
      </c>
      <c r="E2020" s="1">
        <f>IFERROR(__xludf.DUMMYFUNCTION("""COMPUTED_VALUE"""),147.34)</f>
        <v>147.34</v>
      </c>
      <c r="F2020" s="1">
        <f>IFERROR(__xludf.DUMMYFUNCTION("""COMPUTED_VALUE"""),46954.0)</f>
        <v>46954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IFERROR(__xludf.DUMMYFUNCTION("""COMPUTED_VALUE"""),146.83)</f>
        <v>146.83</v>
      </c>
      <c r="C2021" s="1">
        <f>IFERROR(__xludf.DUMMYFUNCTION("""COMPUTED_VALUE"""),146.9)</f>
        <v>146.9</v>
      </c>
      <c r="D2021" s="1">
        <f>IFERROR(__xludf.DUMMYFUNCTION("""COMPUTED_VALUE"""),145.15)</f>
        <v>145.15</v>
      </c>
      <c r="E2021" s="1">
        <f>IFERROR(__xludf.DUMMYFUNCTION("""COMPUTED_VALUE"""),145.46)</f>
        <v>145.46</v>
      </c>
      <c r="F2021" s="1">
        <f>IFERROR(__xludf.DUMMYFUNCTION("""COMPUTED_VALUE"""),53853.0)</f>
        <v>53853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IFERROR(__xludf.DUMMYFUNCTION("""COMPUTED_VALUE"""),145.47)</f>
        <v>145.47</v>
      </c>
      <c r="C2022" s="1">
        <f>IFERROR(__xludf.DUMMYFUNCTION("""COMPUTED_VALUE"""),147.55)</f>
        <v>147.55</v>
      </c>
      <c r="D2022" s="1">
        <f>IFERROR(__xludf.DUMMYFUNCTION("""COMPUTED_VALUE"""),145.47)</f>
        <v>145.47</v>
      </c>
      <c r="E2022" s="1">
        <f>IFERROR(__xludf.DUMMYFUNCTION("""COMPUTED_VALUE"""),146.59)</f>
        <v>146.59</v>
      </c>
      <c r="F2022" s="1">
        <f>IFERROR(__xludf.DUMMYFUNCTION("""COMPUTED_VALUE"""),87702.0)</f>
        <v>87702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IFERROR(__xludf.DUMMYFUNCTION("""COMPUTED_VALUE"""),146.53)</f>
        <v>146.53</v>
      </c>
      <c r="C2023" s="1">
        <f>IFERROR(__xludf.DUMMYFUNCTION("""COMPUTED_VALUE"""),147.92)</f>
        <v>147.92</v>
      </c>
      <c r="D2023" s="1">
        <f>IFERROR(__xludf.DUMMYFUNCTION("""COMPUTED_VALUE"""),144.57)</f>
        <v>144.57</v>
      </c>
      <c r="E2023" s="1">
        <f>IFERROR(__xludf.DUMMYFUNCTION("""COMPUTED_VALUE"""),146.5)</f>
        <v>146.5</v>
      </c>
      <c r="F2023" s="1">
        <f>IFERROR(__xludf.DUMMYFUNCTION("""COMPUTED_VALUE"""),69077.0)</f>
        <v>69077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IFERROR(__xludf.DUMMYFUNCTION("""COMPUTED_VALUE"""),147.6)</f>
        <v>147.6</v>
      </c>
      <c r="C2024" s="1">
        <f>IFERROR(__xludf.DUMMYFUNCTION("""COMPUTED_VALUE"""),147.96)</f>
        <v>147.96</v>
      </c>
      <c r="D2024" s="1">
        <f>IFERROR(__xludf.DUMMYFUNCTION("""COMPUTED_VALUE"""),146.49)</f>
        <v>146.49</v>
      </c>
      <c r="E2024" s="1">
        <f>IFERROR(__xludf.DUMMYFUNCTION("""COMPUTED_VALUE"""),146.66)</f>
        <v>146.66</v>
      </c>
      <c r="F2024" s="1">
        <f>IFERROR(__xludf.DUMMYFUNCTION("""COMPUTED_VALUE"""),101373.0)</f>
        <v>101373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IFERROR(__xludf.DUMMYFUNCTION("""COMPUTED_VALUE"""),147.28)</f>
        <v>147.28</v>
      </c>
      <c r="C2025" s="1">
        <f>IFERROR(__xludf.DUMMYFUNCTION("""COMPUTED_VALUE"""),153.59)</f>
        <v>153.59</v>
      </c>
      <c r="D2025" s="1">
        <f>IFERROR(__xludf.DUMMYFUNCTION("""COMPUTED_VALUE"""),147.28)</f>
        <v>147.28</v>
      </c>
      <c r="E2025" s="1">
        <f>IFERROR(__xludf.DUMMYFUNCTION("""COMPUTED_VALUE"""),152.05)</f>
        <v>152.05</v>
      </c>
      <c r="F2025" s="1">
        <f>IFERROR(__xludf.DUMMYFUNCTION("""COMPUTED_VALUE"""),70380.0)</f>
        <v>70380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IFERROR(__xludf.DUMMYFUNCTION("""COMPUTED_VALUE"""),152.54)</f>
        <v>152.54</v>
      </c>
      <c r="C2026" s="1">
        <f>IFERROR(__xludf.DUMMYFUNCTION("""COMPUTED_VALUE"""),152.79)</f>
        <v>152.79</v>
      </c>
      <c r="D2026" s="1">
        <f>IFERROR(__xludf.DUMMYFUNCTION("""COMPUTED_VALUE"""),149.62)</f>
        <v>149.62</v>
      </c>
      <c r="E2026" s="1">
        <f>IFERROR(__xludf.DUMMYFUNCTION("""COMPUTED_VALUE"""),150.49)</f>
        <v>150.49</v>
      </c>
      <c r="F2026" s="1">
        <f>IFERROR(__xludf.DUMMYFUNCTION("""COMPUTED_VALUE"""),52588.0)</f>
        <v>52588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IFERROR(__xludf.DUMMYFUNCTION("""COMPUTED_VALUE"""),150.21)</f>
        <v>150.21</v>
      </c>
      <c r="C2027" s="1">
        <f>IFERROR(__xludf.DUMMYFUNCTION("""COMPUTED_VALUE"""),153.99)</f>
        <v>153.99</v>
      </c>
      <c r="D2027" s="1">
        <f>IFERROR(__xludf.DUMMYFUNCTION("""COMPUTED_VALUE"""),150.07)</f>
        <v>150.07</v>
      </c>
      <c r="E2027" s="1">
        <f>IFERROR(__xludf.DUMMYFUNCTION("""COMPUTED_VALUE"""),153.8)</f>
        <v>153.8</v>
      </c>
      <c r="F2027" s="1">
        <f>IFERROR(__xludf.DUMMYFUNCTION("""COMPUTED_VALUE"""),51463.0)</f>
        <v>51463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IFERROR(__xludf.DUMMYFUNCTION("""COMPUTED_VALUE"""),153.8)</f>
        <v>153.8</v>
      </c>
      <c r="C2028" s="1">
        <f>IFERROR(__xludf.DUMMYFUNCTION("""COMPUTED_VALUE"""),153.8)</f>
        <v>153.8</v>
      </c>
      <c r="D2028" s="1">
        <f>IFERROR(__xludf.DUMMYFUNCTION("""COMPUTED_VALUE"""),149.02)</f>
        <v>149.02</v>
      </c>
      <c r="E2028" s="1">
        <f>IFERROR(__xludf.DUMMYFUNCTION("""COMPUTED_VALUE"""),149.75)</f>
        <v>149.75</v>
      </c>
      <c r="F2028" s="1">
        <f>IFERROR(__xludf.DUMMYFUNCTION("""COMPUTED_VALUE"""),49530.0)</f>
        <v>49530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IFERROR(__xludf.DUMMYFUNCTION("""COMPUTED_VALUE"""),150.16)</f>
        <v>150.16</v>
      </c>
      <c r="C2029" s="1">
        <f>IFERROR(__xludf.DUMMYFUNCTION("""COMPUTED_VALUE"""),150.97)</f>
        <v>150.97</v>
      </c>
      <c r="D2029" s="1">
        <f>IFERROR(__xludf.DUMMYFUNCTION("""COMPUTED_VALUE"""),148.58)</f>
        <v>148.58</v>
      </c>
      <c r="E2029" s="1">
        <f>IFERROR(__xludf.DUMMYFUNCTION("""COMPUTED_VALUE"""),150.22)</f>
        <v>150.22</v>
      </c>
      <c r="F2029" s="1">
        <f>IFERROR(__xludf.DUMMYFUNCTION("""COMPUTED_VALUE"""),33373.0)</f>
        <v>33373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IFERROR(__xludf.DUMMYFUNCTION("""COMPUTED_VALUE"""),150.96)</f>
        <v>150.96</v>
      </c>
      <c r="C2030" s="1">
        <f>IFERROR(__xludf.DUMMYFUNCTION("""COMPUTED_VALUE"""),151.0)</f>
        <v>151</v>
      </c>
      <c r="D2030" s="1">
        <f>IFERROR(__xludf.DUMMYFUNCTION("""COMPUTED_VALUE"""),147.57)</f>
        <v>147.57</v>
      </c>
      <c r="E2030" s="1">
        <f>IFERROR(__xludf.DUMMYFUNCTION("""COMPUTED_VALUE"""),148.36)</f>
        <v>148.36</v>
      </c>
      <c r="F2030" s="1">
        <f>IFERROR(__xludf.DUMMYFUNCTION("""COMPUTED_VALUE"""),86656.0)</f>
        <v>86656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IFERROR(__xludf.DUMMYFUNCTION("""COMPUTED_VALUE"""),148.99)</f>
        <v>148.99</v>
      </c>
      <c r="C2031" s="1">
        <f>IFERROR(__xludf.DUMMYFUNCTION("""COMPUTED_VALUE"""),151.56)</f>
        <v>151.56</v>
      </c>
      <c r="D2031" s="1">
        <f>IFERROR(__xludf.DUMMYFUNCTION("""COMPUTED_VALUE"""),146.64)</f>
        <v>146.64</v>
      </c>
      <c r="E2031" s="1">
        <f>IFERROR(__xludf.DUMMYFUNCTION("""COMPUTED_VALUE"""),150.92)</f>
        <v>150.92</v>
      </c>
      <c r="F2031" s="1">
        <f>IFERROR(__xludf.DUMMYFUNCTION("""COMPUTED_VALUE"""),137076.0)</f>
        <v>137076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IFERROR(__xludf.DUMMYFUNCTION("""COMPUTED_VALUE"""),150.92)</f>
        <v>150.92</v>
      </c>
      <c r="C2032" s="1">
        <f>IFERROR(__xludf.DUMMYFUNCTION("""COMPUTED_VALUE"""),151.13)</f>
        <v>151.13</v>
      </c>
      <c r="D2032" s="1">
        <f>IFERROR(__xludf.DUMMYFUNCTION("""COMPUTED_VALUE"""),146.95)</f>
        <v>146.95</v>
      </c>
      <c r="E2032" s="1">
        <f>IFERROR(__xludf.DUMMYFUNCTION("""COMPUTED_VALUE"""),148.73)</f>
        <v>148.73</v>
      </c>
      <c r="F2032" s="1">
        <f>IFERROR(__xludf.DUMMYFUNCTION("""COMPUTED_VALUE"""),102876.0)</f>
        <v>102876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IFERROR(__xludf.DUMMYFUNCTION("""COMPUTED_VALUE"""),148.84)</f>
        <v>148.84</v>
      </c>
      <c r="C2033" s="1">
        <f>IFERROR(__xludf.DUMMYFUNCTION("""COMPUTED_VALUE"""),150.91)</f>
        <v>150.91</v>
      </c>
      <c r="D2033" s="1">
        <f>IFERROR(__xludf.DUMMYFUNCTION("""COMPUTED_VALUE"""),148.84)</f>
        <v>148.84</v>
      </c>
      <c r="E2033" s="1">
        <f>IFERROR(__xludf.DUMMYFUNCTION("""COMPUTED_VALUE"""),149.55)</f>
        <v>149.55</v>
      </c>
      <c r="F2033" s="1">
        <f>IFERROR(__xludf.DUMMYFUNCTION("""COMPUTED_VALUE"""),60301.0)</f>
        <v>60301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IFERROR(__xludf.DUMMYFUNCTION("""COMPUTED_VALUE"""),142.7)</f>
        <v>142.7</v>
      </c>
      <c r="C2034" s="1">
        <f>IFERROR(__xludf.DUMMYFUNCTION("""COMPUTED_VALUE"""),145.66)</f>
        <v>145.66</v>
      </c>
      <c r="D2034" s="1">
        <f>IFERROR(__xludf.DUMMYFUNCTION("""COMPUTED_VALUE"""),137.76)</f>
        <v>137.76</v>
      </c>
      <c r="E2034" s="1">
        <f>IFERROR(__xludf.DUMMYFUNCTION("""COMPUTED_VALUE"""),138.99)</f>
        <v>138.99</v>
      </c>
      <c r="F2034" s="1">
        <f>IFERROR(__xludf.DUMMYFUNCTION("""COMPUTED_VALUE"""),174935.0)</f>
        <v>174935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IFERROR(__xludf.DUMMYFUNCTION("""COMPUTED_VALUE"""),140.36)</f>
        <v>140.36</v>
      </c>
      <c r="C2035" s="1">
        <f>IFERROR(__xludf.DUMMYFUNCTION("""COMPUTED_VALUE"""),141.2)</f>
        <v>141.2</v>
      </c>
      <c r="D2035" s="1">
        <f>IFERROR(__xludf.DUMMYFUNCTION("""COMPUTED_VALUE"""),137.06)</f>
        <v>137.06</v>
      </c>
      <c r="E2035" s="1">
        <f>IFERROR(__xludf.DUMMYFUNCTION("""COMPUTED_VALUE"""),138.44)</f>
        <v>138.44</v>
      </c>
      <c r="F2035" s="1">
        <f>IFERROR(__xludf.DUMMYFUNCTION("""COMPUTED_VALUE"""),108306.0)</f>
        <v>108306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IFERROR(__xludf.DUMMYFUNCTION("""COMPUTED_VALUE"""),138.4)</f>
        <v>138.4</v>
      </c>
      <c r="C2036" s="1">
        <f>IFERROR(__xludf.DUMMYFUNCTION("""COMPUTED_VALUE"""),140.41)</f>
        <v>140.41</v>
      </c>
      <c r="D2036" s="1">
        <f>IFERROR(__xludf.DUMMYFUNCTION("""COMPUTED_VALUE"""),136.13)</f>
        <v>136.13</v>
      </c>
      <c r="E2036" s="1">
        <f>IFERROR(__xludf.DUMMYFUNCTION("""COMPUTED_VALUE"""),139.54)</f>
        <v>139.54</v>
      </c>
      <c r="F2036" s="1">
        <f>IFERROR(__xludf.DUMMYFUNCTION("""COMPUTED_VALUE"""),161403.0)</f>
        <v>161403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IFERROR(__xludf.DUMMYFUNCTION("""COMPUTED_VALUE"""),139.55)</f>
        <v>139.55</v>
      </c>
      <c r="C2037" s="1">
        <f>IFERROR(__xludf.DUMMYFUNCTION("""COMPUTED_VALUE"""),144.61)</f>
        <v>144.61</v>
      </c>
      <c r="D2037" s="1">
        <f>IFERROR(__xludf.DUMMYFUNCTION("""COMPUTED_VALUE"""),135.5)</f>
        <v>135.5</v>
      </c>
      <c r="E2037" s="1">
        <f>IFERROR(__xludf.DUMMYFUNCTION("""COMPUTED_VALUE"""),136.98)</f>
        <v>136.98</v>
      </c>
      <c r="F2037" s="1">
        <f>IFERROR(__xludf.DUMMYFUNCTION("""COMPUTED_VALUE"""),104992.0)</f>
        <v>104992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IFERROR(__xludf.DUMMYFUNCTION("""COMPUTED_VALUE"""),136.65)</f>
        <v>136.65</v>
      </c>
      <c r="C2038" s="1">
        <f>IFERROR(__xludf.DUMMYFUNCTION("""COMPUTED_VALUE"""),138.23)</f>
        <v>138.23</v>
      </c>
      <c r="D2038" s="1">
        <f>IFERROR(__xludf.DUMMYFUNCTION("""COMPUTED_VALUE"""),133.06)</f>
        <v>133.06</v>
      </c>
      <c r="E2038" s="1">
        <f>IFERROR(__xludf.DUMMYFUNCTION("""COMPUTED_VALUE"""),133.24)</f>
        <v>133.24</v>
      </c>
      <c r="F2038" s="1">
        <f>IFERROR(__xludf.DUMMYFUNCTION("""COMPUTED_VALUE"""),76243.0)</f>
        <v>76243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IFERROR(__xludf.DUMMYFUNCTION("""COMPUTED_VALUE"""),131.47)</f>
        <v>131.47</v>
      </c>
      <c r="C2039" s="1">
        <f>IFERROR(__xludf.DUMMYFUNCTION("""COMPUTED_VALUE"""),137.17)</f>
        <v>137.17</v>
      </c>
      <c r="D2039" s="1">
        <f>IFERROR(__xludf.DUMMYFUNCTION("""COMPUTED_VALUE"""),128.53)</f>
        <v>128.53</v>
      </c>
      <c r="E2039" s="1">
        <f>IFERROR(__xludf.DUMMYFUNCTION("""COMPUTED_VALUE"""),135.91)</f>
        <v>135.91</v>
      </c>
      <c r="F2039" s="1">
        <f>IFERROR(__xludf.DUMMYFUNCTION("""COMPUTED_VALUE"""),127856.0)</f>
        <v>127856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IFERROR(__xludf.DUMMYFUNCTION("""COMPUTED_VALUE"""),135.84)</f>
        <v>135.84</v>
      </c>
      <c r="C2040" s="1">
        <f>IFERROR(__xludf.DUMMYFUNCTION("""COMPUTED_VALUE"""),136.82)</f>
        <v>136.82</v>
      </c>
      <c r="D2040" s="1">
        <f>IFERROR(__xludf.DUMMYFUNCTION("""COMPUTED_VALUE"""),134.53)</f>
        <v>134.53</v>
      </c>
      <c r="E2040" s="1">
        <f>IFERROR(__xludf.DUMMYFUNCTION("""COMPUTED_VALUE"""),134.74)</f>
        <v>134.74</v>
      </c>
      <c r="F2040" s="1">
        <f>IFERROR(__xludf.DUMMYFUNCTION("""COMPUTED_VALUE"""),50153.0)</f>
        <v>50153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IFERROR(__xludf.DUMMYFUNCTION("""COMPUTED_VALUE"""),135.42)</f>
        <v>135.42</v>
      </c>
      <c r="C2041" s="1">
        <f>IFERROR(__xludf.DUMMYFUNCTION("""COMPUTED_VALUE"""),135.76)</f>
        <v>135.76</v>
      </c>
      <c r="D2041" s="1">
        <f>IFERROR(__xludf.DUMMYFUNCTION("""COMPUTED_VALUE"""),132.02)</f>
        <v>132.02</v>
      </c>
      <c r="E2041" s="1">
        <f>IFERROR(__xludf.DUMMYFUNCTION("""COMPUTED_VALUE"""),132.17)</f>
        <v>132.17</v>
      </c>
      <c r="F2041" s="1">
        <f>IFERROR(__xludf.DUMMYFUNCTION("""COMPUTED_VALUE"""),65490.0)</f>
        <v>65490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IFERROR(__xludf.DUMMYFUNCTION("""COMPUTED_VALUE"""),133.5)</f>
        <v>133.5</v>
      </c>
      <c r="C2042" s="1">
        <f>IFERROR(__xludf.DUMMYFUNCTION("""COMPUTED_VALUE"""),136.0)</f>
        <v>136</v>
      </c>
      <c r="D2042" s="1">
        <f>IFERROR(__xludf.DUMMYFUNCTION("""COMPUTED_VALUE"""),131.08)</f>
        <v>131.08</v>
      </c>
      <c r="E2042" s="1">
        <f>IFERROR(__xludf.DUMMYFUNCTION("""COMPUTED_VALUE"""),133.89)</f>
        <v>133.89</v>
      </c>
      <c r="F2042" s="1">
        <f>IFERROR(__xludf.DUMMYFUNCTION("""COMPUTED_VALUE"""),102254.0)</f>
        <v>102254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IFERROR(__xludf.DUMMYFUNCTION("""COMPUTED_VALUE"""),134.41)</f>
        <v>134.41</v>
      </c>
      <c r="C2043" s="1">
        <f>IFERROR(__xludf.DUMMYFUNCTION("""COMPUTED_VALUE"""),135.56)</f>
        <v>135.56</v>
      </c>
      <c r="D2043" s="1">
        <f>IFERROR(__xludf.DUMMYFUNCTION("""COMPUTED_VALUE"""),132.7)</f>
        <v>132.7</v>
      </c>
      <c r="E2043" s="1">
        <f>IFERROR(__xludf.DUMMYFUNCTION("""COMPUTED_VALUE"""),134.24)</f>
        <v>134.24</v>
      </c>
      <c r="F2043" s="1">
        <f>IFERROR(__xludf.DUMMYFUNCTION("""COMPUTED_VALUE"""),71868.0)</f>
        <v>71868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IFERROR(__xludf.DUMMYFUNCTION("""COMPUTED_VALUE"""),133.38)</f>
        <v>133.38</v>
      </c>
      <c r="C2044" s="1">
        <f>IFERROR(__xludf.DUMMYFUNCTION("""COMPUTED_VALUE"""),135.3)</f>
        <v>135.3</v>
      </c>
      <c r="D2044" s="1">
        <f>IFERROR(__xludf.DUMMYFUNCTION("""COMPUTED_VALUE"""),132.5)</f>
        <v>132.5</v>
      </c>
      <c r="E2044" s="1">
        <f>IFERROR(__xludf.DUMMYFUNCTION("""COMPUTED_VALUE"""),134.61)</f>
        <v>134.61</v>
      </c>
      <c r="F2044" s="1">
        <f>IFERROR(__xludf.DUMMYFUNCTION("""COMPUTED_VALUE"""),59539.0)</f>
        <v>59539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IFERROR(__xludf.DUMMYFUNCTION("""COMPUTED_VALUE"""),134.11)</f>
        <v>134.11</v>
      </c>
      <c r="C2045" s="1">
        <f>IFERROR(__xludf.DUMMYFUNCTION("""COMPUTED_VALUE"""),138.99)</f>
        <v>138.99</v>
      </c>
      <c r="D2045" s="1">
        <f>IFERROR(__xludf.DUMMYFUNCTION("""COMPUTED_VALUE"""),133.69)</f>
        <v>133.69</v>
      </c>
      <c r="E2045" s="1">
        <f>IFERROR(__xludf.DUMMYFUNCTION("""COMPUTED_VALUE"""),138.36)</f>
        <v>138.36</v>
      </c>
      <c r="F2045" s="1">
        <f>IFERROR(__xludf.DUMMYFUNCTION("""COMPUTED_VALUE"""),93099.0)</f>
        <v>93099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IFERROR(__xludf.DUMMYFUNCTION("""COMPUTED_VALUE"""),138.84)</f>
        <v>138.84</v>
      </c>
      <c r="C2046" s="1">
        <f>IFERROR(__xludf.DUMMYFUNCTION("""COMPUTED_VALUE"""),140.05)</f>
        <v>140.05</v>
      </c>
      <c r="D2046" s="1">
        <f>IFERROR(__xludf.DUMMYFUNCTION("""COMPUTED_VALUE"""),137.04)</f>
        <v>137.04</v>
      </c>
      <c r="E2046" s="1">
        <f>IFERROR(__xludf.DUMMYFUNCTION("""COMPUTED_VALUE"""),138.78)</f>
        <v>138.78</v>
      </c>
      <c r="F2046" s="1">
        <f>IFERROR(__xludf.DUMMYFUNCTION("""COMPUTED_VALUE"""),89897.0)</f>
        <v>89897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IFERROR(__xludf.DUMMYFUNCTION("""COMPUTED_VALUE"""),138.26)</f>
        <v>138.26</v>
      </c>
      <c r="C2047" s="1">
        <f>IFERROR(__xludf.DUMMYFUNCTION("""COMPUTED_VALUE"""),140.7)</f>
        <v>140.7</v>
      </c>
      <c r="D2047" s="1">
        <f>IFERROR(__xludf.DUMMYFUNCTION("""COMPUTED_VALUE"""),136.89)</f>
        <v>136.89</v>
      </c>
      <c r="E2047" s="1">
        <f>IFERROR(__xludf.DUMMYFUNCTION("""COMPUTED_VALUE"""),139.1)</f>
        <v>139.1</v>
      </c>
      <c r="F2047" s="1">
        <f>IFERROR(__xludf.DUMMYFUNCTION("""COMPUTED_VALUE"""),142321.0)</f>
        <v>142321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IFERROR(__xludf.DUMMYFUNCTION("""COMPUTED_VALUE"""),138.75)</f>
        <v>138.75</v>
      </c>
      <c r="C2048" s="1">
        <f>IFERROR(__xludf.DUMMYFUNCTION("""COMPUTED_VALUE"""),139.72)</f>
        <v>139.72</v>
      </c>
      <c r="D2048" s="1">
        <f>IFERROR(__xludf.DUMMYFUNCTION("""COMPUTED_VALUE"""),137.42)</f>
        <v>137.42</v>
      </c>
      <c r="E2048" s="1">
        <f>IFERROR(__xludf.DUMMYFUNCTION("""COMPUTED_VALUE"""),138.6)</f>
        <v>138.6</v>
      </c>
      <c r="F2048" s="1">
        <f>IFERROR(__xludf.DUMMYFUNCTION("""COMPUTED_VALUE"""),85846.0)</f>
        <v>85846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IFERROR(__xludf.DUMMYFUNCTION("""COMPUTED_VALUE"""),138.84)</f>
        <v>138.84</v>
      </c>
      <c r="C2049" s="1">
        <f>IFERROR(__xludf.DUMMYFUNCTION("""COMPUTED_VALUE"""),138.84)</f>
        <v>138.84</v>
      </c>
      <c r="D2049" s="1">
        <f>IFERROR(__xludf.DUMMYFUNCTION("""COMPUTED_VALUE"""),135.29)</f>
        <v>135.29</v>
      </c>
      <c r="E2049" s="1">
        <f>IFERROR(__xludf.DUMMYFUNCTION("""COMPUTED_VALUE"""),135.95)</f>
        <v>135.95</v>
      </c>
      <c r="F2049" s="1">
        <f>IFERROR(__xludf.DUMMYFUNCTION("""COMPUTED_VALUE"""),82991.0)</f>
        <v>82991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IFERROR(__xludf.DUMMYFUNCTION("""COMPUTED_VALUE"""),136.4)</f>
        <v>136.4</v>
      </c>
      <c r="C2050" s="1">
        <f>IFERROR(__xludf.DUMMYFUNCTION("""COMPUTED_VALUE"""),136.88)</f>
        <v>136.88</v>
      </c>
      <c r="D2050" s="1">
        <f>IFERROR(__xludf.DUMMYFUNCTION("""COMPUTED_VALUE"""),134.29)</f>
        <v>134.29</v>
      </c>
      <c r="E2050" s="1">
        <f>IFERROR(__xludf.DUMMYFUNCTION("""COMPUTED_VALUE"""),134.63)</f>
        <v>134.63</v>
      </c>
      <c r="F2050" s="1">
        <f>IFERROR(__xludf.DUMMYFUNCTION("""COMPUTED_VALUE"""),88573.0)</f>
        <v>88573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IFERROR(__xludf.DUMMYFUNCTION("""COMPUTED_VALUE"""),135.47)</f>
        <v>135.47</v>
      </c>
      <c r="C2051" s="1">
        <f>IFERROR(__xludf.DUMMYFUNCTION("""COMPUTED_VALUE"""),135.7)</f>
        <v>135.7</v>
      </c>
      <c r="D2051" s="1">
        <f>IFERROR(__xludf.DUMMYFUNCTION("""COMPUTED_VALUE"""),134.14)</f>
        <v>134.14</v>
      </c>
      <c r="E2051" s="1">
        <f>IFERROR(__xludf.DUMMYFUNCTION("""COMPUTED_VALUE"""),135.42)</f>
        <v>135.42</v>
      </c>
      <c r="F2051" s="1">
        <f>IFERROR(__xludf.DUMMYFUNCTION("""COMPUTED_VALUE"""),84304.0)</f>
        <v>84304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IFERROR(__xludf.DUMMYFUNCTION("""COMPUTED_VALUE"""),135.43)</f>
        <v>135.43</v>
      </c>
      <c r="C2052" s="1">
        <f>IFERROR(__xludf.DUMMYFUNCTION("""COMPUTED_VALUE"""),137.82)</f>
        <v>137.82</v>
      </c>
      <c r="D2052" s="1">
        <f>IFERROR(__xludf.DUMMYFUNCTION("""COMPUTED_VALUE"""),134.89)</f>
        <v>134.89</v>
      </c>
      <c r="E2052" s="1">
        <f>IFERROR(__xludf.DUMMYFUNCTION("""COMPUTED_VALUE"""),137.12)</f>
        <v>137.12</v>
      </c>
      <c r="F2052" s="1">
        <f>IFERROR(__xludf.DUMMYFUNCTION("""COMPUTED_VALUE"""),65565.0)</f>
        <v>65565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IFERROR(__xludf.DUMMYFUNCTION("""COMPUTED_VALUE"""),137.01)</f>
        <v>137.01</v>
      </c>
      <c r="C2053" s="1">
        <f>IFERROR(__xludf.DUMMYFUNCTION("""COMPUTED_VALUE"""),139.26)</f>
        <v>139.26</v>
      </c>
      <c r="D2053" s="1">
        <f>IFERROR(__xludf.DUMMYFUNCTION("""COMPUTED_VALUE"""),136.16)</f>
        <v>136.16</v>
      </c>
      <c r="E2053" s="1">
        <f>IFERROR(__xludf.DUMMYFUNCTION("""COMPUTED_VALUE"""),136.16)</f>
        <v>136.16</v>
      </c>
      <c r="F2053" s="1">
        <f>IFERROR(__xludf.DUMMYFUNCTION("""COMPUTED_VALUE"""),62343.0)</f>
        <v>62343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IFERROR(__xludf.DUMMYFUNCTION("""COMPUTED_VALUE"""),136.45)</f>
        <v>136.45</v>
      </c>
      <c r="C2054" s="1">
        <f>IFERROR(__xludf.DUMMYFUNCTION("""COMPUTED_VALUE"""),138.62)</f>
        <v>138.62</v>
      </c>
      <c r="D2054" s="1">
        <f>IFERROR(__xludf.DUMMYFUNCTION("""COMPUTED_VALUE"""),134.33)</f>
        <v>134.33</v>
      </c>
      <c r="E2054" s="1">
        <f>IFERROR(__xludf.DUMMYFUNCTION("""COMPUTED_VALUE"""),134.33)</f>
        <v>134.33</v>
      </c>
      <c r="F2054" s="1">
        <f>IFERROR(__xludf.DUMMYFUNCTION("""COMPUTED_VALUE"""),51571.0)</f>
        <v>51571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IFERROR(__xludf.DUMMYFUNCTION("""COMPUTED_VALUE"""),134.6)</f>
        <v>134.6</v>
      </c>
      <c r="C2055" s="1">
        <f>IFERROR(__xludf.DUMMYFUNCTION("""COMPUTED_VALUE"""),136.23)</f>
        <v>136.23</v>
      </c>
      <c r="D2055" s="1">
        <f>IFERROR(__xludf.DUMMYFUNCTION("""COMPUTED_VALUE"""),132.43)</f>
        <v>132.43</v>
      </c>
      <c r="E2055" s="1">
        <f>IFERROR(__xludf.DUMMYFUNCTION("""COMPUTED_VALUE"""),134.5)</f>
        <v>134.5</v>
      </c>
      <c r="F2055" s="1">
        <f>IFERROR(__xludf.DUMMYFUNCTION("""COMPUTED_VALUE"""),52098.0)</f>
        <v>52098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IFERROR(__xludf.DUMMYFUNCTION("""COMPUTED_VALUE"""),132.9)</f>
        <v>132.9</v>
      </c>
      <c r="C2056" s="1">
        <f>IFERROR(__xludf.DUMMYFUNCTION("""COMPUTED_VALUE"""),137.69)</f>
        <v>137.69</v>
      </c>
      <c r="D2056" s="1">
        <f>IFERROR(__xludf.DUMMYFUNCTION("""COMPUTED_VALUE"""),132.9)</f>
        <v>132.9</v>
      </c>
      <c r="E2056" s="1">
        <f>IFERROR(__xludf.DUMMYFUNCTION("""COMPUTED_VALUE"""),137.22)</f>
        <v>137.22</v>
      </c>
      <c r="F2056" s="1">
        <f>IFERROR(__xludf.DUMMYFUNCTION("""COMPUTED_VALUE"""),68530.0)</f>
        <v>68530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IFERROR(__xludf.DUMMYFUNCTION("""COMPUTED_VALUE"""),136.69)</f>
        <v>136.69</v>
      </c>
      <c r="C2057" s="1">
        <f>IFERROR(__xludf.DUMMYFUNCTION("""COMPUTED_VALUE"""),139.46)</f>
        <v>139.46</v>
      </c>
      <c r="D2057" s="1">
        <f>IFERROR(__xludf.DUMMYFUNCTION("""COMPUTED_VALUE"""),136.01)</f>
        <v>136.01</v>
      </c>
      <c r="E2057" s="1">
        <f>IFERROR(__xludf.DUMMYFUNCTION("""COMPUTED_VALUE"""),138.69)</f>
        <v>138.69</v>
      </c>
      <c r="F2057" s="1">
        <f>IFERROR(__xludf.DUMMYFUNCTION("""COMPUTED_VALUE"""),54403.0)</f>
        <v>54403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IFERROR(__xludf.DUMMYFUNCTION("""COMPUTED_VALUE"""),138.91)</f>
        <v>138.91</v>
      </c>
      <c r="C2058" s="1">
        <f>IFERROR(__xludf.DUMMYFUNCTION("""COMPUTED_VALUE"""),141.0)</f>
        <v>141</v>
      </c>
      <c r="D2058" s="1">
        <f>IFERROR(__xludf.DUMMYFUNCTION("""COMPUTED_VALUE"""),137.18)</f>
        <v>137.18</v>
      </c>
      <c r="E2058" s="1">
        <f>IFERROR(__xludf.DUMMYFUNCTION("""COMPUTED_VALUE"""),140.94)</f>
        <v>140.94</v>
      </c>
      <c r="F2058" s="1">
        <f>IFERROR(__xludf.DUMMYFUNCTION("""COMPUTED_VALUE"""),65446.0)</f>
        <v>65446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IFERROR(__xludf.DUMMYFUNCTION("""COMPUTED_VALUE"""),140.12)</f>
        <v>140.12</v>
      </c>
      <c r="C2059" s="1">
        <f>IFERROR(__xludf.DUMMYFUNCTION("""COMPUTED_VALUE"""),142.0)</f>
        <v>142</v>
      </c>
      <c r="D2059" s="1">
        <f>IFERROR(__xludf.DUMMYFUNCTION("""COMPUTED_VALUE"""),139.79)</f>
        <v>139.79</v>
      </c>
      <c r="E2059" s="1">
        <f>IFERROR(__xludf.DUMMYFUNCTION("""COMPUTED_VALUE"""),141.33)</f>
        <v>141.33</v>
      </c>
      <c r="F2059" s="1">
        <f>IFERROR(__xludf.DUMMYFUNCTION("""COMPUTED_VALUE"""),48813.0)</f>
        <v>48813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IFERROR(__xludf.DUMMYFUNCTION("""COMPUTED_VALUE"""),141.55)</f>
        <v>141.55</v>
      </c>
      <c r="C2060" s="1">
        <f>IFERROR(__xludf.DUMMYFUNCTION("""COMPUTED_VALUE"""),142.26)</f>
        <v>142.26</v>
      </c>
      <c r="D2060" s="1">
        <f>IFERROR(__xludf.DUMMYFUNCTION("""COMPUTED_VALUE"""),140.12)</f>
        <v>140.12</v>
      </c>
      <c r="E2060" s="1">
        <f>IFERROR(__xludf.DUMMYFUNCTION("""COMPUTED_VALUE"""),141.0)</f>
        <v>141</v>
      </c>
      <c r="F2060" s="1">
        <f>IFERROR(__xludf.DUMMYFUNCTION("""COMPUTED_VALUE"""),50812.0)</f>
        <v>50812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IFERROR(__xludf.DUMMYFUNCTION("""COMPUTED_VALUE"""),141.97)</f>
        <v>141.97</v>
      </c>
      <c r="C2061" s="1">
        <f>IFERROR(__xludf.DUMMYFUNCTION("""COMPUTED_VALUE"""),143.0)</f>
        <v>143</v>
      </c>
      <c r="D2061" s="1">
        <f>IFERROR(__xludf.DUMMYFUNCTION("""COMPUTED_VALUE"""),140.23)</f>
        <v>140.23</v>
      </c>
      <c r="E2061" s="1">
        <f>IFERROR(__xludf.DUMMYFUNCTION("""COMPUTED_VALUE"""),141.8)</f>
        <v>141.8</v>
      </c>
      <c r="F2061" s="1">
        <f>IFERROR(__xludf.DUMMYFUNCTION("""COMPUTED_VALUE"""),39009.0)</f>
        <v>39009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IFERROR(__xludf.DUMMYFUNCTION("""COMPUTED_VALUE"""),141.8)</f>
        <v>141.8</v>
      </c>
      <c r="C2062" s="1">
        <f>IFERROR(__xludf.DUMMYFUNCTION("""COMPUTED_VALUE"""),143.57)</f>
        <v>143.57</v>
      </c>
      <c r="D2062" s="1">
        <f>IFERROR(__xludf.DUMMYFUNCTION("""COMPUTED_VALUE"""),141.05)</f>
        <v>141.05</v>
      </c>
      <c r="E2062" s="1">
        <f>IFERROR(__xludf.DUMMYFUNCTION("""COMPUTED_VALUE"""),141.11)</f>
        <v>141.11</v>
      </c>
      <c r="F2062" s="1">
        <f>IFERROR(__xludf.DUMMYFUNCTION("""COMPUTED_VALUE"""),39119.0)</f>
        <v>39119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IFERROR(__xludf.DUMMYFUNCTION("""COMPUTED_VALUE"""),141.65)</f>
        <v>141.65</v>
      </c>
      <c r="C2063" s="1">
        <f>IFERROR(__xludf.DUMMYFUNCTION("""COMPUTED_VALUE"""),142.72)</f>
        <v>142.72</v>
      </c>
      <c r="D2063" s="1">
        <f>IFERROR(__xludf.DUMMYFUNCTION("""COMPUTED_VALUE"""),140.26)</f>
        <v>140.26</v>
      </c>
      <c r="E2063" s="1">
        <f>IFERROR(__xludf.DUMMYFUNCTION("""COMPUTED_VALUE"""),141.01)</f>
        <v>141.01</v>
      </c>
      <c r="F2063" s="1">
        <f>IFERROR(__xludf.DUMMYFUNCTION("""COMPUTED_VALUE"""),48013.0)</f>
        <v>48013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IFERROR(__xludf.DUMMYFUNCTION("""COMPUTED_VALUE"""),140.55)</f>
        <v>140.55</v>
      </c>
      <c r="C2064" s="1">
        <f>IFERROR(__xludf.DUMMYFUNCTION("""COMPUTED_VALUE"""),141.25)</f>
        <v>141.25</v>
      </c>
      <c r="D2064" s="1">
        <f>IFERROR(__xludf.DUMMYFUNCTION("""COMPUTED_VALUE"""),138.02)</f>
        <v>138.02</v>
      </c>
      <c r="E2064" s="1">
        <f>IFERROR(__xludf.DUMMYFUNCTION("""COMPUTED_VALUE"""),138.93)</f>
        <v>138.93</v>
      </c>
      <c r="F2064" s="1">
        <f>IFERROR(__xludf.DUMMYFUNCTION("""COMPUTED_VALUE"""),51341.0)</f>
        <v>51341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IFERROR(__xludf.DUMMYFUNCTION("""COMPUTED_VALUE"""),139.18)</f>
        <v>139.18</v>
      </c>
      <c r="C2065" s="1">
        <f>IFERROR(__xludf.DUMMYFUNCTION("""COMPUTED_VALUE"""),139.18)</f>
        <v>139.18</v>
      </c>
      <c r="D2065" s="1">
        <f>IFERROR(__xludf.DUMMYFUNCTION("""COMPUTED_VALUE"""),134.64)</f>
        <v>134.64</v>
      </c>
      <c r="E2065" s="1">
        <f>IFERROR(__xludf.DUMMYFUNCTION("""COMPUTED_VALUE"""),135.38)</f>
        <v>135.38</v>
      </c>
      <c r="F2065" s="1">
        <f>IFERROR(__xludf.DUMMYFUNCTION("""COMPUTED_VALUE"""),75845.0)</f>
        <v>75845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IFERROR(__xludf.DUMMYFUNCTION("""COMPUTED_VALUE"""),135.39)</f>
        <v>135.39</v>
      </c>
      <c r="C2066" s="1">
        <f>IFERROR(__xludf.DUMMYFUNCTION("""COMPUTED_VALUE"""),137.59)</f>
        <v>137.59</v>
      </c>
      <c r="D2066" s="1">
        <f>IFERROR(__xludf.DUMMYFUNCTION("""COMPUTED_VALUE"""),134.42)</f>
        <v>134.42</v>
      </c>
      <c r="E2066" s="1">
        <f>IFERROR(__xludf.DUMMYFUNCTION("""COMPUTED_VALUE"""),136.69)</f>
        <v>136.69</v>
      </c>
      <c r="F2066" s="1">
        <f>IFERROR(__xludf.DUMMYFUNCTION("""COMPUTED_VALUE"""),210142.0)</f>
        <v>210142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IFERROR(__xludf.DUMMYFUNCTION("""COMPUTED_VALUE"""),136.5)</f>
        <v>136.5</v>
      </c>
      <c r="C2067" s="1">
        <f>IFERROR(__xludf.DUMMYFUNCTION("""COMPUTED_VALUE"""),136.79)</f>
        <v>136.79</v>
      </c>
      <c r="D2067" s="1">
        <f>IFERROR(__xludf.DUMMYFUNCTION("""COMPUTED_VALUE"""),133.03)</f>
        <v>133.03</v>
      </c>
      <c r="E2067" s="1">
        <f>IFERROR(__xludf.DUMMYFUNCTION("""COMPUTED_VALUE"""),136.11)</f>
        <v>136.11</v>
      </c>
      <c r="F2067" s="1">
        <f>IFERROR(__xludf.DUMMYFUNCTION("""COMPUTED_VALUE"""),68719.0)</f>
        <v>68719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IFERROR(__xludf.DUMMYFUNCTION("""COMPUTED_VALUE"""),136.38)</f>
        <v>136.38</v>
      </c>
      <c r="C2068" s="1">
        <f>IFERROR(__xludf.DUMMYFUNCTION("""COMPUTED_VALUE"""),137.0)</f>
        <v>137</v>
      </c>
      <c r="D2068" s="1">
        <f>IFERROR(__xludf.DUMMYFUNCTION("""COMPUTED_VALUE"""),134.81)</f>
        <v>134.81</v>
      </c>
      <c r="E2068" s="1">
        <f>IFERROR(__xludf.DUMMYFUNCTION("""COMPUTED_VALUE"""),135.66)</f>
        <v>135.66</v>
      </c>
      <c r="F2068" s="1">
        <f>IFERROR(__xludf.DUMMYFUNCTION("""COMPUTED_VALUE"""),30626.0)</f>
        <v>30626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IFERROR(__xludf.DUMMYFUNCTION("""COMPUTED_VALUE"""),135.17)</f>
        <v>135.17</v>
      </c>
      <c r="C2069" s="1">
        <f>IFERROR(__xludf.DUMMYFUNCTION("""COMPUTED_VALUE"""),135.42)</f>
        <v>135.42</v>
      </c>
      <c r="D2069" s="1">
        <f>IFERROR(__xludf.DUMMYFUNCTION("""COMPUTED_VALUE"""),133.39)</f>
        <v>133.39</v>
      </c>
      <c r="E2069" s="1">
        <f>IFERROR(__xludf.DUMMYFUNCTION("""COMPUTED_VALUE"""),133.82)</f>
        <v>133.82</v>
      </c>
      <c r="F2069" s="1">
        <f>IFERROR(__xludf.DUMMYFUNCTION("""COMPUTED_VALUE"""),74975.0)</f>
        <v>74975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IFERROR(__xludf.DUMMYFUNCTION("""COMPUTED_VALUE"""),133.35)</f>
        <v>133.35</v>
      </c>
      <c r="C2070" s="1">
        <f>IFERROR(__xludf.DUMMYFUNCTION("""COMPUTED_VALUE"""),136.96)</f>
        <v>136.96</v>
      </c>
      <c r="D2070" s="1">
        <f>IFERROR(__xludf.DUMMYFUNCTION("""COMPUTED_VALUE"""),132.82)</f>
        <v>132.82</v>
      </c>
      <c r="E2070" s="1">
        <f>IFERROR(__xludf.DUMMYFUNCTION("""COMPUTED_VALUE"""),133.7)</f>
        <v>133.7</v>
      </c>
      <c r="F2070" s="1">
        <f>IFERROR(__xludf.DUMMYFUNCTION("""COMPUTED_VALUE"""),74244.0)</f>
        <v>74244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IFERROR(__xludf.DUMMYFUNCTION("""COMPUTED_VALUE"""),133.95)</f>
        <v>133.95</v>
      </c>
      <c r="C2071" s="1">
        <f>IFERROR(__xludf.DUMMYFUNCTION("""COMPUTED_VALUE"""),135.51)</f>
        <v>135.51</v>
      </c>
      <c r="D2071" s="1">
        <f>IFERROR(__xludf.DUMMYFUNCTION("""COMPUTED_VALUE"""),131.48)</f>
        <v>131.48</v>
      </c>
      <c r="E2071" s="1">
        <f>IFERROR(__xludf.DUMMYFUNCTION("""COMPUTED_VALUE"""),132.01)</f>
        <v>132.01</v>
      </c>
      <c r="F2071" s="1">
        <f>IFERROR(__xludf.DUMMYFUNCTION("""COMPUTED_VALUE"""),104669.0)</f>
        <v>104669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IFERROR(__xludf.DUMMYFUNCTION("""COMPUTED_VALUE"""),133.57)</f>
        <v>133.57</v>
      </c>
      <c r="C2072" s="1">
        <f>IFERROR(__xludf.DUMMYFUNCTION("""COMPUTED_VALUE"""),135.4)</f>
        <v>135.4</v>
      </c>
      <c r="D2072" s="1">
        <f>IFERROR(__xludf.DUMMYFUNCTION("""COMPUTED_VALUE"""),130.28)</f>
        <v>130.28</v>
      </c>
      <c r="E2072" s="1">
        <f>IFERROR(__xludf.DUMMYFUNCTION("""COMPUTED_VALUE"""),135.18)</f>
        <v>135.18</v>
      </c>
      <c r="F2072" s="1">
        <f>IFERROR(__xludf.DUMMYFUNCTION("""COMPUTED_VALUE"""),96230.0)</f>
        <v>96230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IFERROR(__xludf.DUMMYFUNCTION("""COMPUTED_VALUE"""),135.24)</f>
        <v>135.24</v>
      </c>
      <c r="C2073" s="1">
        <f>IFERROR(__xludf.DUMMYFUNCTION("""COMPUTED_VALUE"""),137.04)</f>
        <v>137.04</v>
      </c>
      <c r="D2073" s="1">
        <f>IFERROR(__xludf.DUMMYFUNCTION("""COMPUTED_VALUE"""),133.79)</f>
        <v>133.79</v>
      </c>
      <c r="E2073" s="1">
        <f>IFERROR(__xludf.DUMMYFUNCTION("""COMPUTED_VALUE"""),135.08)</f>
        <v>135.08</v>
      </c>
      <c r="F2073" s="1">
        <f>IFERROR(__xludf.DUMMYFUNCTION("""COMPUTED_VALUE"""),50695.0)</f>
        <v>50695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IFERROR(__xludf.DUMMYFUNCTION("""COMPUTED_VALUE"""),135.07)</f>
        <v>135.07</v>
      </c>
      <c r="C2074" s="1">
        <f>IFERROR(__xludf.DUMMYFUNCTION("""COMPUTED_VALUE"""),136.53)</f>
        <v>136.53</v>
      </c>
      <c r="D2074" s="1">
        <f>IFERROR(__xludf.DUMMYFUNCTION("""COMPUTED_VALUE"""),134.0)</f>
        <v>134</v>
      </c>
      <c r="E2074" s="1">
        <f>IFERROR(__xludf.DUMMYFUNCTION("""COMPUTED_VALUE"""),134.62)</f>
        <v>134.62</v>
      </c>
      <c r="F2074" s="1">
        <f>IFERROR(__xludf.DUMMYFUNCTION("""COMPUTED_VALUE"""),42419.0)</f>
        <v>42419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IFERROR(__xludf.DUMMYFUNCTION("""COMPUTED_VALUE"""),135.28)</f>
        <v>135.28</v>
      </c>
      <c r="C2075" s="1">
        <f>IFERROR(__xludf.DUMMYFUNCTION("""COMPUTED_VALUE"""),139.06)</f>
        <v>139.06</v>
      </c>
      <c r="D2075" s="1">
        <f>IFERROR(__xludf.DUMMYFUNCTION("""COMPUTED_VALUE"""),135.28)</f>
        <v>135.28</v>
      </c>
      <c r="E2075" s="1">
        <f>IFERROR(__xludf.DUMMYFUNCTION("""COMPUTED_VALUE"""),136.56)</f>
        <v>136.56</v>
      </c>
      <c r="F2075" s="1">
        <f>IFERROR(__xludf.DUMMYFUNCTION("""COMPUTED_VALUE"""),69422.0)</f>
        <v>69422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IFERROR(__xludf.DUMMYFUNCTION("""COMPUTED_VALUE"""),136.57)</f>
        <v>136.57</v>
      </c>
      <c r="C2076" s="1">
        <f>IFERROR(__xludf.DUMMYFUNCTION("""COMPUTED_VALUE"""),136.59)</f>
        <v>136.59</v>
      </c>
      <c r="D2076" s="1">
        <f>IFERROR(__xludf.DUMMYFUNCTION("""COMPUTED_VALUE"""),133.15)</f>
        <v>133.15</v>
      </c>
      <c r="E2076" s="1">
        <f>IFERROR(__xludf.DUMMYFUNCTION("""COMPUTED_VALUE"""),134.27)</f>
        <v>134.27</v>
      </c>
      <c r="F2076" s="1">
        <f>IFERROR(__xludf.DUMMYFUNCTION("""COMPUTED_VALUE"""),48068.0)</f>
        <v>48068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IFERROR(__xludf.DUMMYFUNCTION("""COMPUTED_VALUE"""),135.07)</f>
        <v>135.07</v>
      </c>
      <c r="C2077" s="1">
        <f>IFERROR(__xludf.DUMMYFUNCTION("""COMPUTED_VALUE"""),137.97)</f>
        <v>137.97</v>
      </c>
      <c r="D2077" s="1">
        <f>IFERROR(__xludf.DUMMYFUNCTION("""COMPUTED_VALUE"""),134.94)</f>
        <v>134.94</v>
      </c>
      <c r="E2077" s="1">
        <f>IFERROR(__xludf.DUMMYFUNCTION("""COMPUTED_VALUE"""),137.44)</f>
        <v>137.44</v>
      </c>
      <c r="F2077" s="1">
        <f>IFERROR(__xludf.DUMMYFUNCTION("""COMPUTED_VALUE"""),74334.0)</f>
        <v>74334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IFERROR(__xludf.DUMMYFUNCTION("""COMPUTED_VALUE"""),135.82)</f>
        <v>135.82</v>
      </c>
      <c r="C2078" s="1">
        <f>IFERROR(__xludf.DUMMYFUNCTION("""COMPUTED_VALUE"""),140.26)</f>
        <v>140.26</v>
      </c>
      <c r="D2078" s="1">
        <f>IFERROR(__xludf.DUMMYFUNCTION("""COMPUTED_VALUE"""),135.82)</f>
        <v>135.82</v>
      </c>
      <c r="E2078" s="1">
        <f>IFERROR(__xludf.DUMMYFUNCTION("""COMPUTED_VALUE"""),139.23)</f>
        <v>139.23</v>
      </c>
      <c r="F2078" s="1">
        <f>IFERROR(__xludf.DUMMYFUNCTION("""COMPUTED_VALUE"""),51181.0)</f>
        <v>51181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IFERROR(__xludf.DUMMYFUNCTION("""COMPUTED_VALUE"""),140.0)</f>
        <v>140</v>
      </c>
      <c r="C2079" s="1">
        <f>IFERROR(__xludf.DUMMYFUNCTION("""COMPUTED_VALUE"""),141.88)</f>
        <v>141.88</v>
      </c>
      <c r="D2079" s="1">
        <f>IFERROR(__xludf.DUMMYFUNCTION("""COMPUTED_VALUE"""),139.68)</f>
        <v>139.68</v>
      </c>
      <c r="E2079" s="1">
        <f>IFERROR(__xludf.DUMMYFUNCTION("""COMPUTED_VALUE"""),140.53)</f>
        <v>140.53</v>
      </c>
      <c r="F2079" s="1">
        <f>IFERROR(__xludf.DUMMYFUNCTION("""COMPUTED_VALUE"""),130276.0)</f>
        <v>130276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IFERROR(__xludf.DUMMYFUNCTION("""COMPUTED_VALUE"""),139.83)</f>
        <v>139.83</v>
      </c>
      <c r="C2080" s="1">
        <f>IFERROR(__xludf.DUMMYFUNCTION("""COMPUTED_VALUE"""),140.47)</f>
        <v>140.47</v>
      </c>
      <c r="D2080" s="1">
        <f>IFERROR(__xludf.DUMMYFUNCTION("""COMPUTED_VALUE"""),136.94)</f>
        <v>136.94</v>
      </c>
      <c r="E2080" s="1">
        <f>IFERROR(__xludf.DUMMYFUNCTION("""COMPUTED_VALUE"""),138.48)</f>
        <v>138.48</v>
      </c>
      <c r="F2080" s="1">
        <f>IFERROR(__xludf.DUMMYFUNCTION("""COMPUTED_VALUE"""),95858.0)</f>
        <v>95858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IFERROR(__xludf.DUMMYFUNCTION("""COMPUTED_VALUE"""),139.06)</f>
        <v>139.06</v>
      </c>
      <c r="C2081" s="1">
        <f>IFERROR(__xludf.DUMMYFUNCTION("""COMPUTED_VALUE"""),140.0)</f>
        <v>140</v>
      </c>
      <c r="D2081" s="1">
        <f>IFERROR(__xludf.DUMMYFUNCTION("""COMPUTED_VALUE"""),136.17)</f>
        <v>136.17</v>
      </c>
      <c r="E2081" s="1">
        <f>IFERROR(__xludf.DUMMYFUNCTION("""COMPUTED_VALUE"""),138.79)</f>
        <v>138.79</v>
      </c>
      <c r="F2081" s="1">
        <f>IFERROR(__xludf.DUMMYFUNCTION("""COMPUTED_VALUE"""),47586.0)</f>
        <v>47586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IFERROR(__xludf.DUMMYFUNCTION("""COMPUTED_VALUE"""),139.4)</f>
        <v>139.4</v>
      </c>
      <c r="C2082" s="1">
        <f>IFERROR(__xludf.DUMMYFUNCTION("""COMPUTED_VALUE"""),140.77)</f>
        <v>140.77</v>
      </c>
      <c r="D2082" s="1">
        <f>IFERROR(__xludf.DUMMYFUNCTION("""COMPUTED_VALUE"""),137.73)</f>
        <v>137.73</v>
      </c>
      <c r="E2082" s="1">
        <f>IFERROR(__xludf.DUMMYFUNCTION("""COMPUTED_VALUE"""),140.1)</f>
        <v>140.1</v>
      </c>
      <c r="F2082" s="1">
        <f>IFERROR(__xludf.DUMMYFUNCTION("""COMPUTED_VALUE"""),96858.0)</f>
        <v>96858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IFERROR(__xludf.DUMMYFUNCTION("""COMPUTED_VALUE"""),139.99)</f>
        <v>139.99</v>
      </c>
      <c r="C2083" s="1">
        <f>IFERROR(__xludf.DUMMYFUNCTION("""COMPUTED_VALUE"""),140.67)</f>
        <v>140.67</v>
      </c>
      <c r="D2083" s="1">
        <f>IFERROR(__xludf.DUMMYFUNCTION("""COMPUTED_VALUE"""),139.18)</f>
        <v>139.18</v>
      </c>
      <c r="E2083" s="1">
        <f>IFERROR(__xludf.DUMMYFUNCTION("""COMPUTED_VALUE"""),140.1)</f>
        <v>140.1</v>
      </c>
      <c r="F2083" s="1">
        <f>IFERROR(__xludf.DUMMYFUNCTION("""COMPUTED_VALUE"""),72560.0)</f>
        <v>72560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IFERROR(__xludf.DUMMYFUNCTION("""COMPUTED_VALUE"""),140.5)</f>
        <v>140.5</v>
      </c>
      <c r="C2084" s="1">
        <f>IFERROR(__xludf.DUMMYFUNCTION("""COMPUTED_VALUE"""),140.5)</f>
        <v>140.5</v>
      </c>
      <c r="D2084" s="1">
        <f>IFERROR(__xludf.DUMMYFUNCTION("""COMPUTED_VALUE"""),139.5)</f>
        <v>139.5</v>
      </c>
      <c r="E2084" s="1">
        <f>IFERROR(__xludf.DUMMYFUNCTION("""COMPUTED_VALUE"""),140.12)</f>
        <v>140.12</v>
      </c>
      <c r="F2084" s="1">
        <f>IFERROR(__xludf.DUMMYFUNCTION("""COMPUTED_VALUE"""),54602.0)</f>
        <v>54602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IFERROR(__xludf.DUMMYFUNCTION("""COMPUTED_VALUE"""),140.32)</f>
        <v>140.32</v>
      </c>
      <c r="C2085" s="1">
        <f>IFERROR(__xludf.DUMMYFUNCTION("""COMPUTED_VALUE"""),140.62)</f>
        <v>140.62</v>
      </c>
      <c r="D2085" s="1">
        <f>IFERROR(__xludf.DUMMYFUNCTION("""COMPUTED_VALUE"""),139.21)</f>
        <v>139.21</v>
      </c>
      <c r="E2085" s="1">
        <f>IFERROR(__xludf.DUMMYFUNCTION("""COMPUTED_VALUE"""),139.54)</f>
        <v>139.54</v>
      </c>
      <c r="F2085" s="1">
        <f>IFERROR(__xludf.DUMMYFUNCTION("""COMPUTED_VALUE"""),92346.0)</f>
        <v>92346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IFERROR(__xludf.DUMMYFUNCTION("""COMPUTED_VALUE"""),140.0)</f>
        <v>140</v>
      </c>
      <c r="C2086" s="1">
        <f>IFERROR(__xludf.DUMMYFUNCTION("""COMPUTED_VALUE"""),142.95)</f>
        <v>142.95</v>
      </c>
      <c r="D2086" s="1">
        <f>IFERROR(__xludf.DUMMYFUNCTION("""COMPUTED_VALUE"""),137.77)</f>
        <v>137.77</v>
      </c>
      <c r="E2086" s="1">
        <f>IFERROR(__xludf.DUMMYFUNCTION("""COMPUTED_VALUE"""),142.41)</f>
        <v>142.41</v>
      </c>
      <c r="F2086" s="1">
        <f>IFERROR(__xludf.DUMMYFUNCTION("""COMPUTED_VALUE"""),47646.0)</f>
        <v>47646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IFERROR(__xludf.DUMMYFUNCTION("""COMPUTED_VALUE"""),143.05)</f>
        <v>143.05</v>
      </c>
      <c r="C2087" s="1">
        <f>IFERROR(__xludf.DUMMYFUNCTION("""COMPUTED_VALUE"""),144.26)</f>
        <v>144.26</v>
      </c>
      <c r="D2087" s="1">
        <f>IFERROR(__xludf.DUMMYFUNCTION("""COMPUTED_VALUE"""),141.73)</f>
        <v>141.73</v>
      </c>
      <c r="E2087" s="1">
        <f>IFERROR(__xludf.DUMMYFUNCTION("""COMPUTED_VALUE"""),143.97)</f>
        <v>143.97</v>
      </c>
      <c r="F2087" s="1">
        <f>IFERROR(__xludf.DUMMYFUNCTION("""COMPUTED_VALUE"""),42775.0)</f>
        <v>42775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IFERROR(__xludf.DUMMYFUNCTION("""COMPUTED_VALUE"""),144.36)</f>
        <v>144.36</v>
      </c>
      <c r="C2088" s="1">
        <f>IFERROR(__xludf.DUMMYFUNCTION("""COMPUTED_VALUE"""),144.36)</f>
        <v>144.36</v>
      </c>
      <c r="D2088" s="1">
        <f>IFERROR(__xludf.DUMMYFUNCTION("""COMPUTED_VALUE"""),143.13)</f>
        <v>143.13</v>
      </c>
      <c r="E2088" s="1">
        <f>IFERROR(__xludf.DUMMYFUNCTION("""COMPUTED_VALUE"""),143.99)</f>
        <v>143.99</v>
      </c>
      <c r="F2088" s="1">
        <f>IFERROR(__xludf.DUMMYFUNCTION("""COMPUTED_VALUE"""),53835.0)</f>
        <v>53835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IFERROR(__xludf.DUMMYFUNCTION("""COMPUTED_VALUE"""),143.89)</f>
        <v>143.89</v>
      </c>
      <c r="C2089" s="1">
        <f>IFERROR(__xludf.DUMMYFUNCTION("""COMPUTED_VALUE"""),143.89)</f>
        <v>143.89</v>
      </c>
      <c r="D2089" s="1">
        <f>IFERROR(__xludf.DUMMYFUNCTION("""COMPUTED_VALUE"""),141.65)</f>
        <v>141.65</v>
      </c>
      <c r="E2089" s="1">
        <f>IFERROR(__xludf.DUMMYFUNCTION("""COMPUTED_VALUE"""),142.07)</f>
        <v>142.07</v>
      </c>
      <c r="F2089" s="1">
        <f>IFERROR(__xludf.DUMMYFUNCTION("""COMPUTED_VALUE"""),37111.0)</f>
        <v>37111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IFERROR(__xludf.DUMMYFUNCTION("""COMPUTED_VALUE"""),141.4)</f>
        <v>141.4</v>
      </c>
      <c r="C2090" s="1">
        <f>IFERROR(__xludf.DUMMYFUNCTION("""COMPUTED_VALUE"""),141.99)</f>
        <v>141.99</v>
      </c>
      <c r="D2090" s="1">
        <f>IFERROR(__xludf.DUMMYFUNCTION("""COMPUTED_VALUE"""),139.4)</f>
        <v>139.4</v>
      </c>
      <c r="E2090" s="1">
        <f>IFERROR(__xludf.DUMMYFUNCTION("""COMPUTED_VALUE"""),140.67)</f>
        <v>140.67</v>
      </c>
      <c r="F2090" s="1">
        <f>IFERROR(__xludf.DUMMYFUNCTION("""COMPUTED_VALUE"""),41608.0)</f>
        <v>41608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IFERROR(__xludf.DUMMYFUNCTION("""COMPUTED_VALUE"""),141.45)</f>
        <v>141.45</v>
      </c>
      <c r="C2091" s="1">
        <f>IFERROR(__xludf.DUMMYFUNCTION("""COMPUTED_VALUE"""),142.28)</f>
        <v>142.28</v>
      </c>
      <c r="D2091" s="1">
        <f>IFERROR(__xludf.DUMMYFUNCTION("""COMPUTED_VALUE"""),140.1)</f>
        <v>140.1</v>
      </c>
      <c r="E2091" s="1">
        <f>IFERROR(__xludf.DUMMYFUNCTION("""COMPUTED_VALUE"""),140.66)</f>
        <v>140.66</v>
      </c>
      <c r="F2091" s="1">
        <f>IFERROR(__xludf.DUMMYFUNCTION("""COMPUTED_VALUE"""),29475.0)</f>
        <v>29475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IFERROR(__xludf.DUMMYFUNCTION("""COMPUTED_VALUE"""),140.5)</f>
        <v>140.5</v>
      </c>
      <c r="C2092" s="1">
        <f>IFERROR(__xludf.DUMMYFUNCTION("""COMPUTED_VALUE"""),141.73)</f>
        <v>141.73</v>
      </c>
      <c r="D2092" s="1">
        <f>IFERROR(__xludf.DUMMYFUNCTION("""COMPUTED_VALUE"""),138.61)</f>
        <v>138.61</v>
      </c>
      <c r="E2092" s="1">
        <f>IFERROR(__xludf.DUMMYFUNCTION("""COMPUTED_VALUE"""),140.27)</f>
        <v>140.27</v>
      </c>
      <c r="F2092" s="1">
        <f>IFERROR(__xludf.DUMMYFUNCTION("""COMPUTED_VALUE"""),35972.0)</f>
        <v>35972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IFERROR(__xludf.DUMMYFUNCTION("""COMPUTED_VALUE"""),140.3)</f>
        <v>140.3</v>
      </c>
      <c r="C2093" s="1">
        <f>IFERROR(__xludf.DUMMYFUNCTION("""COMPUTED_VALUE"""),141.57)</f>
        <v>141.57</v>
      </c>
      <c r="D2093" s="1">
        <f>IFERROR(__xludf.DUMMYFUNCTION("""COMPUTED_VALUE"""),138.86)</f>
        <v>138.86</v>
      </c>
      <c r="E2093" s="1">
        <f>IFERROR(__xludf.DUMMYFUNCTION("""COMPUTED_VALUE"""),140.45)</f>
        <v>140.45</v>
      </c>
      <c r="F2093" s="1">
        <f>IFERROR(__xludf.DUMMYFUNCTION("""COMPUTED_VALUE"""),29898.0)</f>
        <v>29898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IFERROR(__xludf.DUMMYFUNCTION("""COMPUTED_VALUE"""),140.58)</f>
        <v>140.58</v>
      </c>
      <c r="C2094" s="1">
        <f>IFERROR(__xludf.DUMMYFUNCTION("""COMPUTED_VALUE"""),141.04)</f>
        <v>141.04</v>
      </c>
      <c r="D2094" s="1">
        <f>IFERROR(__xludf.DUMMYFUNCTION("""COMPUTED_VALUE"""),139.17)</f>
        <v>139.17</v>
      </c>
      <c r="E2094" s="1">
        <f>IFERROR(__xludf.DUMMYFUNCTION("""COMPUTED_VALUE"""),140.47)</f>
        <v>140.47</v>
      </c>
      <c r="F2094" s="1">
        <f>IFERROR(__xludf.DUMMYFUNCTION("""COMPUTED_VALUE"""),28476.0)</f>
        <v>28476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IFERROR(__xludf.DUMMYFUNCTION("""COMPUTED_VALUE"""),140.64)</f>
        <v>140.64</v>
      </c>
      <c r="C2095" s="1">
        <f>IFERROR(__xludf.DUMMYFUNCTION("""COMPUTED_VALUE"""),141.96)</f>
        <v>141.96</v>
      </c>
      <c r="D2095" s="1">
        <f>IFERROR(__xludf.DUMMYFUNCTION("""COMPUTED_VALUE"""),139.04)</f>
        <v>139.04</v>
      </c>
      <c r="E2095" s="1">
        <f>IFERROR(__xludf.DUMMYFUNCTION("""COMPUTED_VALUE"""),139.08)</f>
        <v>139.08</v>
      </c>
      <c r="F2095" s="1">
        <f>IFERROR(__xludf.DUMMYFUNCTION("""COMPUTED_VALUE"""),70403.0)</f>
        <v>70403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IFERROR(__xludf.DUMMYFUNCTION("""COMPUTED_VALUE"""),139.46)</f>
        <v>139.46</v>
      </c>
      <c r="C2096" s="1">
        <f>IFERROR(__xludf.DUMMYFUNCTION("""COMPUTED_VALUE"""),142.24)</f>
        <v>142.24</v>
      </c>
      <c r="D2096" s="1">
        <f>IFERROR(__xludf.DUMMYFUNCTION("""COMPUTED_VALUE"""),136.06)</f>
        <v>136.06</v>
      </c>
      <c r="E2096" s="1">
        <f>IFERROR(__xludf.DUMMYFUNCTION("""COMPUTED_VALUE"""),137.41)</f>
        <v>137.41</v>
      </c>
      <c r="F2096" s="1">
        <f>IFERROR(__xludf.DUMMYFUNCTION("""COMPUTED_VALUE"""),70166.0)</f>
        <v>70166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IFERROR(__xludf.DUMMYFUNCTION("""COMPUTED_VALUE"""),135.5)</f>
        <v>135.5</v>
      </c>
      <c r="C2097" s="1">
        <f>IFERROR(__xludf.DUMMYFUNCTION("""COMPUTED_VALUE"""),137.11)</f>
        <v>137.11</v>
      </c>
      <c r="D2097" s="1">
        <f>IFERROR(__xludf.DUMMYFUNCTION("""COMPUTED_VALUE"""),129.61)</f>
        <v>129.61</v>
      </c>
      <c r="E2097" s="1">
        <f>IFERROR(__xludf.DUMMYFUNCTION("""COMPUTED_VALUE"""),132.07)</f>
        <v>132.07</v>
      </c>
      <c r="F2097" s="1">
        <f>IFERROR(__xludf.DUMMYFUNCTION("""COMPUTED_VALUE"""),102619.0)</f>
        <v>102619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IFERROR(__xludf.DUMMYFUNCTION("""COMPUTED_VALUE"""),131.89)</f>
        <v>131.89</v>
      </c>
      <c r="C2098" s="1">
        <f>IFERROR(__xludf.DUMMYFUNCTION("""COMPUTED_VALUE"""),132.21)</f>
        <v>132.21</v>
      </c>
      <c r="D2098" s="1">
        <f>IFERROR(__xludf.DUMMYFUNCTION("""COMPUTED_VALUE"""),127.88)</f>
        <v>127.88</v>
      </c>
      <c r="E2098" s="1">
        <f>IFERROR(__xludf.DUMMYFUNCTION("""COMPUTED_VALUE"""),129.66)</f>
        <v>129.66</v>
      </c>
      <c r="F2098" s="1">
        <f>IFERROR(__xludf.DUMMYFUNCTION("""COMPUTED_VALUE"""),74013.0)</f>
        <v>74013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IFERROR(__xludf.DUMMYFUNCTION("""COMPUTED_VALUE"""),129.16)</f>
        <v>129.16</v>
      </c>
      <c r="C2099" s="1">
        <f>IFERROR(__xludf.DUMMYFUNCTION("""COMPUTED_VALUE"""),131.27)</f>
        <v>131.27</v>
      </c>
      <c r="D2099" s="1">
        <f>IFERROR(__xludf.DUMMYFUNCTION("""COMPUTED_VALUE"""),128.08)</f>
        <v>128.08</v>
      </c>
      <c r="E2099" s="1">
        <f>IFERROR(__xludf.DUMMYFUNCTION("""COMPUTED_VALUE"""),128.82)</f>
        <v>128.82</v>
      </c>
      <c r="F2099" s="1">
        <f>IFERROR(__xludf.DUMMYFUNCTION("""COMPUTED_VALUE"""),60755.0)</f>
        <v>60755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IFERROR(__xludf.DUMMYFUNCTION("""COMPUTED_VALUE"""),128.26)</f>
        <v>128.26</v>
      </c>
      <c r="C2100" s="1">
        <f>IFERROR(__xludf.DUMMYFUNCTION("""COMPUTED_VALUE"""),133.95)</f>
        <v>133.95</v>
      </c>
      <c r="D2100" s="1">
        <f>IFERROR(__xludf.DUMMYFUNCTION("""COMPUTED_VALUE"""),125.98)</f>
        <v>125.98</v>
      </c>
      <c r="E2100" s="1">
        <f>IFERROR(__xludf.DUMMYFUNCTION("""COMPUTED_VALUE"""),132.7)</f>
        <v>132.7</v>
      </c>
      <c r="F2100" s="1">
        <f>IFERROR(__xludf.DUMMYFUNCTION("""COMPUTED_VALUE"""),55396.0)</f>
        <v>55396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IFERROR(__xludf.DUMMYFUNCTION("""COMPUTED_VALUE"""),133.04)</f>
        <v>133.04</v>
      </c>
      <c r="C2101" s="1">
        <f>IFERROR(__xludf.DUMMYFUNCTION("""COMPUTED_VALUE"""),135.36)</f>
        <v>135.36</v>
      </c>
      <c r="D2101" s="1">
        <f>IFERROR(__xludf.DUMMYFUNCTION("""COMPUTED_VALUE"""),133.04)</f>
        <v>133.04</v>
      </c>
      <c r="E2101" s="1">
        <f>IFERROR(__xludf.DUMMYFUNCTION("""COMPUTED_VALUE"""),135.05)</f>
        <v>135.05</v>
      </c>
      <c r="F2101" s="1">
        <f>IFERROR(__xludf.DUMMYFUNCTION("""COMPUTED_VALUE"""),95096.0)</f>
        <v>95096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IFERROR(__xludf.DUMMYFUNCTION("""COMPUTED_VALUE"""),134.72)</f>
        <v>134.72</v>
      </c>
      <c r="C2102" s="1">
        <f>IFERROR(__xludf.DUMMYFUNCTION("""COMPUTED_VALUE"""),135.91)</f>
        <v>135.91</v>
      </c>
      <c r="D2102" s="1">
        <f>IFERROR(__xludf.DUMMYFUNCTION("""COMPUTED_VALUE"""),134.26)</f>
        <v>134.26</v>
      </c>
      <c r="E2102" s="1">
        <f>IFERROR(__xludf.DUMMYFUNCTION("""COMPUTED_VALUE"""),135.5)</f>
        <v>135.5</v>
      </c>
      <c r="F2102" s="1">
        <f>IFERROR(__xludf.DUMMYFUNCTION("""COMPUTED_VALUE"""),96592.0)</f>
        <v>96592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IFERROR(__xludf.DUMMYFUNCTION("""COMPUTED_VALUE"""),135.75)</f>
        <v>135.75</v>
      </c>
      <c r="C2103" s="1">
        <f>IFERROR(__xludf.DUMMYFUNCTION("""COMPUTED_VALUE"""),136.7)</f>
        <v>136.7</v>
      </c>
      <c r="D2103" s="1">
        <f>IFERROR(__xludf.DUMMYFUNCTION("""COMPUTED_VALUE"""),133.89)</f>
        <v>133.89</v>
      </c>
      <c r="E2103" s="1">
        <f>IFERROR(__xludf.DUMMYFUNCTION("""COMPUTED_VALUE"""),135.74)</f>
        <v>135.74</v>
      </c>
      <c r="F2103" s="1">
        <f>IFERROR(__xludf.DUMMYFUNCTION("""COMPUTED_VALUE"""),29832.0)</f>
        <v>29832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IFERROR(__xludf.DUMMYFUNCTION("""COMPUTED_VALUE"""),135.76)</f>
        <v>135.76</v>
      </c>
      <c r="C2104" s="1">
        <f>IFERROR(__xludf.DUMMYFUNCTION("""COMPUTED_VALUE"""),136.4)</f>
        <v>136.4</v>
      </c>
      <c r="D2104" s="1">
        <f>IFERROR(__xludf.DUMMYFUNCTION("""COMPUTED_VALUE"""),135.1)</f>
        <v>135.1</v>
      </c>
      <c r="E2104" s="1">
        <f>IFERROR(__xludf.DUMMYFUNCTION("""COMPUTED_VALUE"""),135.8)</f>
        <v>135.8</v>
      </c>
      <c r="F2104" s="1">
        <f>IFERROR(__xludf.DUMMYFUNCTION("""COMPUTED_VALUE"""),45496.0)</f>
        <v>45496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IFERROR(__xludf.DUMMYFUNCTION("""COMPUTED_VALUE"""),136.22)</f>
        <v>136.22</v>
      </c>
      <c r="C2105" s="1">
        <f>IFERROR(__xludf.DUMMYFUNCTION("""COMPUTED_VALUE"""),137.6)</f>
        <v>137.6</v>
      </c>
      <c r="D2105" s="1">
        <f>IFERROR(__xludf.DUMMYFUNCTION("""COMPUTED_VALUE"""),135.27)</f>
        <v>135.27</v>
      </c>
      <c r="E2105" s="1">
        <f>IFERROR(__xludf.DUMMYFUNCTION("""COMPUTED_VALUE"""),137.08)</f>
        <v>137.08</v>
      </c>
      <c r="F2105" s="1">
        <f>IFERROR(__xludf.DUMMYFUNCTION("""COMPUTED_VALUE"""),55170.0)</f>
        <v>55170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IFERROR(__xludf.DUMMYFUNCTION("""COMPUTED_VALUE"""),137.31)</f>
        <v>137.31</v>
      </c>
      <c r="C2106" s="1">
        <f>IFERROR(__xludf.DUMMYFUNCTION("""COMPUTED_VALUE"""),138.3)</f>
        <v>138.3</v>
      </c>
      <c r="D2106" s="1">
        <f>IFERROR(__xludf.DUMMYFUNCTION("""COMPUTED_VALUE"""),135.76)</f>
        <v>135.76</v>
      </c>
      <c r="E2106" s="1">
        <f>IFERROR(__xludf.DUMMYFUNCTION("""COMPUTED_VALUE"""),135.97)</f>
        <v>135.97</v>
      </c>
      <c r="F2106" s="1">
        <f>IFERROR(__xludf.DUMMYFUNCTION("""COMPUTED_VALUE"""),60283.0)</f>
        <v>60283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IFERROR(__xludf.DUMMYFUNCTION("""COMPUTED_VALUE"""),135.55)</f>
        <v>135.55</v>
      </c>
      <c r="C2107" s="1">
        <f>IFERROR(__xludf.DUMMYFUNCTION("""COMPUTED_VALUE"""),136.92)</f>
        <v>136.92</v>
      </c>
      <c r="D2107" s="1">
        <f>IFERROR(__xludf.DUMMYFUNCTION("""COMPUTED_VALUE"""),134.82)</f>
        <v>134.82</v>
      </c>
      <c r="E2107" s="1">
        <f>IFERROR(__xludf.DUMMYFUNCTION("""COMPUTED_VALUE"""),136.71)</f>
        <v>136.71</v>
      </c>
      <c r="F2107" s="1">
        <f>IFERROR(__xludf.DUMMYFUNCTION("""COMPUTED_VALUE"""),59422.0)</f>
        <v>59422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IFERROR(__xludf.DUMMYFUNCTION("""COMPUTED_VALUE"""),136.7)</f>
        <v>136.7</v>
      </c>
      <c r="C2108" s="1">
        <f>IFERROR(__xludf.DUMMYFUNCTION("""COMPUTED_VALUE"""),139.66)</f>
        <v>139.66</v>
      </c>
      <c r="D2108" s="1">
        <f>IFERROR(__xludf.DUMMYFUNCTION("""COMPUTED_VALUE"""),136.5)</f>
        <v>136.5</v>
      </c>
      <c r="E2108" s="1">
        <f>IFERROR(__xludf.DUMMYFUNCTION("""COMPUTED_VALUE"""),138.64)</f>
        <v>138.64</v>
      </c>
      <c r="F2108" s="1">
        <f>IFERROR(__xludf.DUMMYFUNCTION("""COMPUTED_VALUE"""),112672.0)</f>
        <v>112672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IFERROR(__xludf.DUMMYFUNCTION("""COMPUTED_VALUE"""),138.63)</f>
        <v>138.63</v>
      </c>
      <c r="C2109" s="1">
        <f>IFERROR(__xludf.DUMMYFUNCTION("""COMPUTED_VALUE"""),140.93)</f>
        <v>140.93</v>
      </c>
      <c r="D2109" s="1">
        <f>IFERROR(__xludf.DUMMYFUNCTION("""COMPUTED_VALUE"""),138.01)</f>
        <v>138.01</v>
      </c>
      <c r="E2109" s="1">
        <f>IFERROR(__xludf.DUMMYFUNCTION("""COMPUTED_VALUE"""),140.3)</f>
        <v>140.3</v>
      </c>
      <c r="F2109" s="1">
        <f>IFERROR(__xludf.DUMMYFUNCTION("""COMPUTED_VALUE"""),75025.0)</f>
        <v>75025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IFERROR(__xludf.DUMMYFUNCTION("""COMPUTED_VALUE"""),140.99)</f>
        <v>140.99</v>
      </c>
      <c r="C2110" s="1">
        <f>IFERROR(__xludf.DUMMYFUNCTION("""COMPUTED_VALUE"""),141.39)</f>
        <v>141.39</v>
      </c>
      <c r="D2110" s="1">
        <f>IFERROR(__xludf.DUMMYFUNCTION("""COMPUTED_VALUE"""),138.68)</f>
        <v>138.68</v>
      </c>
      <c r="E2110" s="1">
        <f>IFERROR(__xludf.DUMMYFUNCTION("""COMPUTED_VALUE"""),140.7)</f>
        <v>140.7</v>
      </c>
      <c r="F2110" s="1">
        <f>IFERROR(__xludf.DUMMYFUNCTION("""COMPUTED_VALUE"""),105758.0)</f>
        <v>105758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IFERROR(__xludf.DUMMYFUNCTION("""COMPUTED_VALUE"""),140.63)</f>
        <v>140.63</v>
      </c>
      <c r="C2111" s="1">
        <f>IFERROR(__xludf.DUMMYFUNCTION("""COMPUTED_VALUE"""),141.46)</f>
        <v>141.46</v>
      </c>
      <c r="D2111" s="1">
        <f>IFERROR(__xludf.DUMMYFUNCTION("""COMPUTED_VALUE"""),138.06)</f>
        <v>138.06</v>
      </c>
      <c r="E2111" s="1">
        <f>IFERROR(__xludf.DUMMYFUNCTION("""COMPUTED_VALUE"""),140.85)</f>
        <v>140.85</v>
      </c>
      <c r="F2111" s="1">
        <f>IFERROR(__xludf.DUMMYFUNCTION("""COMPUTED_VALUE"""),73216.0)</f>
        <v>73216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IFERROR(__xludf.DUMMYFUNCTION("""COMPUTED_VALUE"""),140.52)</f>
        <v>140.52</v>
      </c>
      <c r="C2112" s="1">
        <f>IFERROR(__xludf.DUMMYFUNCTION("""COMPUTED_VALUE"""),140.52)</f>
        <v>140.52</v>
      </c>
      <c r="D2112" s="1">
        <f>IFERROR(__xludf.DUMMYFUNCTION("""COMPUTED_VALUE"""),137.09)</f>
        <v>137.09</v>
      </c>
      <c r="E2112" s="1">
        <f>IFERROR(__xludf.DUMMYFUNCTION("""COMPUTED_VALUE"""),137.25)</f>
        <v>137.25</v>
      </c>
      <c r="F2112" s="1">
        <f>IFERROR(__xludf.DUMMYFUNCTION("""COMPUTED_VALUE"""),70258.0)</f>
        <v>70258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IFERROR(__xludf.DUMMYFUNCTION("""COMPUTED_VALUE"""),136.87)</f>
        <v>136.87</v>
      </c>
      <c r="C2113" s="1">
        <f>IFERROR(__xludf.DUMMYFUNCTION("""COMPUTED_VALUE"""),138.47)</f>
        <v>138.47</v>
      </c>
      <c r="D2113" s="1">
        <f>IFERROR(__xludf.DUMMYFUNCTION("""COMPUTED_VALUE"""),136.87)</f>
        <v>136.87</v>
      </c>
      <c r="E2113" s="1">
        <f>IFERROR(__xludf.DUMMYFUNCTION("""COMPUTED_VALUE"""),138.05)</f>
        <v>138.05</v>
      </c>
      <c r="F2113" s="1">
        <f>IFERROR(__xludf.DUMMYFUNCTION("""COMPUTED_VALUE"""),66022.0)</f>
        <v>66022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IFERROR(__xludf.DUMMYFUNCTION("""COMPUTED_VALUE"""),137.56)</f>
        <v>137.56</v>
      </c>
      <c r="C2114" s="1">
        <f>IFERROR(__xludf.DUMMYFUNCTION("""COMPUTED_VALUE"""),139.19)</f>
        <v>139.19</v>
      </c>
      <c r="D2114" s="1">
        <f>IFERROR(__xludf.DUMMYFUNCTION("""COMPUTED_VALUE"""),136.87)</f>
        <v>136.87</v>
      </c>
      <c r="E2114" s="1">
        <f>IFERROR(__xludf.DUMMYFUNCTION("""COMPUTED_VALUE"""),138.84)</f>
        <v>138.84</v>
      </c>
      <c r="F2114" s="1">
        <f>IFERROR(__xludf.DUMMYFUNCTION("""COMPUTED_VALUE"""),91852.0)</f>
        <v>91852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IFERROR(__xludf.DUMMYFUNCTION("""COMPUTED_VALUE"""),138.8)</f>
        <v>138.8</v>
      </c>
      <c r="C2115" s="1">
        <f>IFERROR(__xludf.DUMMYFUNCTION("""COMPUTED_VALUE"""),140.26)</f>
        <v>140.26</v>
      </c>
      <c r="D2115" s="1">
        <f>IFERROR(__xludf.DUMMYFUNCTION("""COMPUTED_VALUE"""),137.35)</f>
        <v>137.35</v>
      </c>
      <c r="E2115" s="1">
        <f>IFERROR(__xludf.DUMMYFUNCTION("""COMPUTED_VALUE"""),139.07)</f>
        <v>139.07</v>
      </c>
      <c r="F2115" s="1">
        <f>IFERROR(__xludf.DUMMYFUNCTION("""COMPUTED_VALUE"""),75383.0)</f>
        <v>75383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IFERROR(__xludf.DUMMYFUNCTION("""COMPUTED_VALUE"""),138.48)</f>
        <v>138.48</v>
      </c>
      <c r="C2116" s="1">
        <f>IFERROR(__xludf.DUMMYFUNCTION("""COMPUTED_VALUE"""),140.63)</f>
        <v>140.63</v>
      </c>
      <c r="D2116" s="1">
        <f>IFERROR(__xludf.DUMMYFUNCTION("""COMPUTED_VALUE"""),137.51)</f>
        <v>137.51</v>
      </c>
      <c r="E2116" s="1">
        <f>IFERROR(__xludf.DUMMYFUNCTION("""COMPUTED_VALUE"""),140.1)</f>
        <v>140.1</v>
      </c>
      <c r="F2116" s="1">
        <f>IFERROR(__xludf.DUMMYFUNCTION("""COMPUTED_VALUE"""),58347.0)</f>
        <v>58347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IFERROR(__xludf.DUMMYFUNCTION("""COMPUTED_VALUE"""),140.51)</f>
        <v>140.51</v>
      </c>
      <c r="C2117" s="1">
        <f>IFERROR(__xludf.DUMMYFUNCTION("""COMPUTED_VALUE"""),144.17)</f>
        <v>144.17</v>
      </c>
      <c r="D2117" s="1">
        <f>IFERROR(__xludf.DUMMYFUNCTION("""COMPUTED_VALUE"""),139.11)</f>
        <v>139.11</v>
      </c>
      <c r="E2117" s="1">
        <f>IFERROR(__xludf.DUMMYFUNCTION("""COMPUTED_VALUE"""),143.62)</f>
        <v>143.62</v>
      </c>
      <c r="F2117" s="1">
        <f>IFERROR(__xludf.DUMMYFUNCTION("""COMPUTED_VALUE"""),56424.0)</f>
        <v>56424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IFERROR(__xludf.DUMMYFUNCTION("""COMPUTED_VALUE"""),143.3)</f>
        <v>143.3</v>
      </c>
      <c r="C2118" s="1">
        <f>IFERROR(__xludf.DUMMYFUNCTION("""COMPUTED_VALUE"""),143.3)</f>
        <v>143.3</v>
      </c>
      <c r="D2118" s="1">
        <f>IFERROR(__xludf.DUMMYFUNCTION("""COMPUTED_VALUE"""),140.67)</f>
        <v>140.67</v>
      </c>
      <c r="E2118" s="1">
        <f>IFERROR(__xludf.DUMMYFUNCTION("""COMPUTED_VALUE"""),141.62)</f>
        <v>141.62</v>
      </c>
      <c r="F2118" s="1">
        <f>IFERROR(__xludf.DUMMYFUNCTION("""COMPUTED_VALUE"""),70093.0)</f>
        <v>70093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IFERROR(__xludf.DUMMYFUNCTION("""COMPUTED_VALUE"""),142.07)</f>
        <v>142.07</v>
      </c>
      <c r="C2119" s="1">
        <f>IFERROR(__xludf.DUMMYFUNCTION("""COMPUTED_VALUE"""),143.33)</f>
        <v>143.33</v>
      </c>
      <c r="D2119" s="1">
        <f>IFERROR(__xludf.DUMMYFUNCTION("""COMPUTED_VALUE"""),140.72)</f>
        <v>140.72</v>
      </c>
      <c r="E2119" s="1">
        <f>IFERROR(__xludf.DUMMYFUNCTION("""COMPUTED_VALUE"""),143.05)</f>
        <v>143.05</v>
      </c>
      <c r="F2119" s="1">
        <f>IFERROR(__xludf.DUMMYFUNCTION("""COMPUTED_VALUE"""),79530.0)</f>
        <v>79530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IFERROR(__xludf.DUMMYFUNCTION("""COMPUTED_VALUE"""),143.8)</f>
        <v>143.8</v>
      </c>
      <c r="C2120" s="1">
        <f>IFERROR(__xludf.DUMMYFUNCTION("""COMPUTED_VALUE"""),146.05)</f>
        <v>146.05</v>
      </c>
      <c r="D2120" s="1">
        <f>IFERROR(__xludf.DUMMYFUNCTION("""COMPUTED_VALUE"""),143.2)</f>
        <v>143.2</v>
      </c>
      <c r="E2120" s="1">
        <f>IFERROR(__xludf.DUMMYFUNCTION("""COMPUTED_VALUE"""),145.84)</f>
        <v>145.84</v>
      </c>
      <c r="F2120" s="1">
        <f>IFERROR(__xludf.DUMMYFUNCTION("""COMPUTED_VALUE"""),84274.0)</f>
        <v>84274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IFERROR(__xludf.DUMMYFUNCTION("""COMPUTED_VALUE"""),145.67)</f>
        <v>145.67</v>
      </c>
      <c r="C2121" s="1">
        <f>IFERROR(__xludf.DUMMYFUNCTION("""COMPUTED_VALUE"""),147.73)</f>
        <v>147.73</v>
      </c>
      <c r="D2121" s="1">
        <f>IFERROR(__xludf.DUMMYFUNCTION("""COMPUTED_VALUE"""),145.12)</f>
        <v>145.12</v>
      </c>
      <c r="E2121" s="1">
        <f>IFERROR(__xludf.DUMMYFUNCTION("""COMPUTED_VALUE"""),147.45)</f>
        <v>147.45</v>
      </c>
      <c r="F2121" s="1">
        <f>IFERROR(__xludf.DUMMYFUNCTION("""COMPUTED_VALUE"""),65476.0)</f>
        <v>65476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IFERROR(__xludf.DUMMYFUNCTION("""COMPUTED_VALUE"""),147.88)</f>
        <v>147.88</v>
      </c>
      <c r="C2122" s="1">
        <f>IFERROR(__xludf.DUMMYFUNCTION("""COMPUTED_VALUE"""),147.88)</f>
        <v>147.88</v>
      </c>
      <c r="D2122" s="1">
        <f>IFERROR(__xludf.DUMMYFUNCTION("""COMPUTED_VALUE"""),145.47)</f>
        <v>145.47</v>
      </c>
      <c r="E2122" s="1">
        <f>IFERROR(__xludf.DUMMYFUNCTION("""COMPUTED_VALUE"""),146.16)</f>
        <v>146.16</v>
      </c>
      <c r="F2122" s="1">
        <f>IFERROR(__xludf.DUMMYFUNCTION("""COMPUTED_VALUE"""),53421.0)</f>
        <v>53421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IFERROR(__xludf.DUMMYFUNCTION("""COMPUTED_VALUE"""),145.93)</f>
        <v>145.93</v>
      </c>
      <c r="C2123" s="1">
        <f>IFERROR(__xludf.DUMMYFUNCTION("""COMPUTED_VALUE"""),147.0)</f>
        <v>147</v>
      </c>
      <c r="D2123" s="1">
        <f>IFERROR(__xludf.DUMMYFUNCTION("""COMPUTED_VALUE"""),145.07)</f>
        <v>145.07</v>
      </c>
      <c r="E2123" s="1">
        <f>IFERROR(__xludf.DUMMYFUNCTION("""COMPUTED_VALUE"""),146.17)</f>
        <v>146.17</v>
      </c>
      <c r="F2123" s="1">
        <f>IFERROR(__xludf.DUMMYFUNCTION("""COMPUTED_VALUE"""),48654.0)</f>
        <v>48654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IFERROR(__xludf.DUMMYFUNCTION("""COMPUTED_VALUE"""),146.33)</f>
        <v>146.33</v>
      </c>
      <c r="C2124" s="1">
        <f>IFERROR(__xludf.DUMMYFUNCTION("""COMPUTED_VALUE"""),148.61)</f>
        <v>148.61</v>
      </c>
      <c r="D2124" s="1">
        <f>IFERROR(__xludf.DUMMYFUNCTION("""COMPUTED_VALUE"""),146.16)</f>
        <v>146.16</v>
      </c>
      <c r="E2124" s="1">
        <f>IFERROR(__xludf.DUMMYFUNCTION("""COMPUTED_VALUE"""),147.28)</f>
        <v>147.28</v>
      </c>
      <c r="F2124" s="1">
        <f>IFERROR(__xludf.DUMMYFUNCTION("""COMPUTED_VALUE"""),88922.0)</f>
        <v>88922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IFERROR(__xludf.DUMMYFUNCTION("""COMPUTED_VALUE"""),147.28)</f>
        <v>147.28</v>
      </c>
      <c r="C2125" s="1">
        <f>IFERROR(__xludf.DUMMYFUNCTION("""COMPUTED_VALUE"""),148.67)</f>
        <v>148.67</v>
      </c>
      <c r="D2125" s="1">
        <f>IFERROR(__xludf.DUMMYFUNCTION("""COMPUTED_VALUE"""),146.64)</f>
        <v>146.64</v>
      </c>
      <c r="E2125" s="1">
        <f>IFERROR(__xludf.DUMMYFUNCTION("""COMPUTED_VALUE"""),147.77)</f>
        <v>147.77</v>
      </c>
      <c r="F2125" s="1">
        <f>IFERROR(__xludf.DUMMYFUNCTION("""COMPUTED_VALUE"""),74032.0)</f>
        <v>74032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IFERROR(__xludf.DUMMYFUNCTION("""COMPUTED_VALUE"""),148.03)</f>
        <v>148.03</v>
      </c>
      <c r="C2126" s="1">
        <f>IFERROR(__xludf.DUMMYFUNCTION("""COMPUTED_VALUE"""),148.91)</f>
        <v>148.91</v>
      </c>
      <c r="D2126" s="1">
        <f>IFERROR(__xludf.DUMMYFUNCTION("""COMPUTED_VALUE"""),146.75)</f>
        <v>146.75</v>
      </c>
      <c r="E2126" s="1">
        <f>IFERROR(__xludf.DUMMYFUNCTION("""COMPUTED_VALUE"""),148.7)</f>
        <v>148.7</v>
      </c>
      <c r="F2126" s="1">
        <f>IFERROR(__xludf.DUMMYFUNCTION("""COMPUTED_VALUE"""),56788.0)</f>
        <v>56788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IFERROR(__xludf.DUMMYFUNCTION("""COMPUTED_VALUE"""),148.06)</f>
        <v>148.06</v>
      </c>
      <c r="C2127" s="1">
        <f>IFERROR(__xludf.DUMMYFUNCTION("""COMPUTED_VALUE"""),149.59)</f>
        <v>149.59</v>
      </c>
      <c r="D2127" s="1">
        <f>IFERROR(__xludf.DUMMYFUNCTION("""COMPUTED_VALUE"""),147.53)</f>
        <v>147.53</v>
      </c>
      <c r="E2127" s="1">
        <f>IFERROR(__xludf.DUMMYFUNCTION("""COMPUTED_VALUE"""),149.32)</f>
        <v>149.32</v>
      </c>
      <c r="F2127" s="1">
        <f>IFERROR(__xludf.DUMMYFUNCTION("""COMPUTED_VALUE"""),55678.0)</f>
        <v>55678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IFERROR(__xludf.DUMMYFUNCTION("""COMPUTED_VALUE"""),149.94)</f>
        <v>149.94</v>
      </c>
      <c r="C2128" s="1">
        <f>IFERROR(__xludf.DUMMYFUNCTION("""COMPUTED_VALUE"""),151.1)</f>
        <v>151.1</v>
      </c>
      <c r="D2128" s="1">
        <f>IFERROR(__xludf.DUMMYFUNCTION("""COMPUTED_VALUE"""),149.35)</f>
        <v>149.35</v>
      </c>
      <c r="E2128" s="1">
        <f>IFERROR(__xludf.DUMMYFUNCTION("""COMPUTED_VALUE"""),151.02)</f>
        <v>151.02</v>
      </c>
      <c r="F2128" s="1">
        <f>IFERROR(__xludf.DUMMYFUNCTION("""COMPUTED_VALUE"""),62719.0)</f>
        <v>62719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IFERROR(__xludf.DUMMYFUNCTION("""COMPUTED_VALUE"""),150.74)</f>
        <v>150.74</v>
      </c>
      <c r="C2129" s="1">
        <f>IFERROR(__xludf.DUMMYFUNCTION("""COMPUTED_VALUE"""),152.29)</f>
        <v>152.29</v>
      </c>
      <c r="D2129" s="1">
        <f>IFERROR(__xludf.DUMMYFUNCTION("""COMPUTED_VALUE"""),147.18)</f>
        <v>147.18</v>
      </c>
      <c r="E2129" s="1">
        <f>IFERROR(__xludf.DUMMYFUNCTION("""COMPUTED_VALUE"""),151.72)</f>
        <v>151.72</v>
      </c>
      <c r="F2129" s="1">
        <f>IFERROR(__xludf.DUMMYFUNCTION("""COMPUTED_VALUE"""),106334.0)</f>
        <v>106334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IFERROR(__xludf.DUMMYFUNCTION("""COMPUTED_VALUE"""),151.75)</f>
        <v>151.75</v>
      </c>
      <c r="C2130" s="1">
        <f>IFERROR(__xludf.DUMMYFUNCTION("""COMPUTED_VALUE"""),152.22)</f>
        <v>152.22</v>
      </c>
      <c r="D2130" s="1">
        <f>IFERROR(__xludf.DUMMYFUNCTION("""COMPUTED_VALUE"""),150.13)</f>
        <v>150.13</v>
      </c>
      <c r="E2130" s="1">
        <f>IFERROR(__xludf.DUMMYFUNCTION("""COMPUTED_VALUE"""),151.67)</f>
        <v>151.67</v>
      </c>
      <c r="F2130" s="1">
        <f>IFERROR(__xludf.DUMMYFUNCTION("""COMPUTED_VALUE"""),58567.0)</f>
        <v>58567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IFERROR(__xludf.DUMMYFUNCTION("""COMPUTED_VALUE"""),151.29)</f>
        <v>151.29</v>
      </c>
      <c r="C2131" s="1">
        <f>IFERROR(__xludf.DUMMYFUNCTION("""COMPUTED_VALUE"""),154.47)</f>
        <v>154.47</v>
      </c>
      <c r="D2131" s="1">
        <f>IFERROR(__xludf.DUMMYFUNCTION("""COMPUTED_VALUE"""),149.8)</f>
        <v>149.8</v>
      </c>
      <c r="E2131" s="1">
        <f>IFERROR(__xludf.DUMMYFUNCTION("""COMPUTED_VALUE"""),153.13)</f>
        <v>153.13</v>
      </c>
      <c r="F2131" s="1">
        <f>IFERROR(__xludf.DUMMYFUNCTION("""COMPUTED_VALUE"""),60968.0)</f>
        <v>60968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IFERROR(__xludf.DUMMYFUNCTION("""COMPUTED_VALUE"""),153.63)</f>
        <v>153.63</v>
      </c>
      <c r="C2132" s="1">
        <f>IFERROR(__xludf.DUMMYFUNCTION("""COMPUTED_VALUE"""),153.65)</f>
        <v>153.65</v>
      </c>
      <c r="D2132" s="1">
        <f>IFERROR(__xludf.DUMMYFUNCTION("""COMPUTED_VALUE"""),152.5)</f>
        <v>152.5</v>
      </c>
      <c r="E2132" s="1">
        <f>IFERROR(__xludf.DUMMYFUNCTION("""COMPUTED_VALUE"""),153.4)</f>
        <v>153.4</v>
      </c>
      <c r="F2132" s="1">
        <f>IFERROR(__xludf.DUMMYFUNCTION("""COMPUTED_VALUE"""),62482.0)</f>
        <v>62482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IFERROR(__xludf.DUMMYFUNCTION("""COMPUTED_VALUE"""),153.63)</f>
        <v>153.63</v>
      </c>
      <c r="C2133" s="1">
        <f>IFERROR(__xludf.DUMMYFUNCTION("""COMPUTED_VALUE"""),155.27)</f>
        <v>155.27</v>
      </c>
      <c r="D2133" s="1">
        <f>IFERROR(__xludf.DUMMYFUNCTION("""COMPUTED_VALUE"""),152.54)</f>
        <v>152.54</v>
      </c>
      <c r="E2133" s="1">
        <f>IFERROR(__xludf.DUMMYFUNCTION("""COMPUTED_VALUE"""),153.94)</f>
        <v>153.94</v>
      </c>
      <c r="F2133" s="1">
        <f>IFERROR(__xludf.DUMMYFUNCTION("""COMPUTED_VALUE"""),76297.0)</f>
        <v>76297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IFERROR(__xludf.DUMMYFUNCTION("""COMPUTED_VALUE"""),154.38)</f>
        <v>154.38</v>
      </c>
      <c r="C2134" s="1">
        <f>IFERROR(__xludf.DUMMYFUNCTION("""COMPUTED_VALUE"""),155.94)</f>
        <v>155.94</v>
      </c>
      <c r="D2134" s="1">
        <f>IFERROR(__xludf.DUMMYFUNCTION("""COMPUTED_VALUE"""),152.85)</f>
        <v>152.85</v>
      </c>
      <c r="E2134" s="1">
        <f>IFERROR(__xludf.DUMMYFUNCTION("""COMPUTED_VALUE"""),154.88)</f>
        <v>154.88</v>
      </c>
      <c r="F2134" s="1">
        <f>IFERROR(__xludf.DUMMYFUNCTION("""COMPUTED_VALUE"""),123071.0)</f>
        <v>123071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IFERROR(__xludf.DUMMYFUNCTION("""COMPUTED_VALUE"""),154.9)</f>
        <v>154.9</v>
      </c>
      <c r="C2135" s="1">
        <f>IFERROR(__xludf.DUMMYFUNCTION("""COMPUTED_VALUE"""),156.61)</f>
        <v>156.61</v>
      </c>
      <c r="D2135" s="1">
        <f>IFERROR(__xludf.DUMMYFUNCTION("""COMPUTED_VALUE"""),153.35)</f>
        <v>153.35</v>
      </c>
      <c r="E2135" s="1">
        <f>IFERROR(__xludf.DUMMYFUNCTION("""COMPUTED_VALUE"""),154.78)</f>
        <v>154.78</v>
      </c>
      <c r="F2135" s="1">
        <f>IFERROR(__xludf.DUMMYFUNCTION("""COMPUTED_VALUE"""),99269.0)</f>
        <v>99269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IFERROR(__xludf.DUMMYFUNCTION("""COMPUTED_VALUE"""),154.84)</f>
        <v>154.84</v>
      </c>
      <c r="C2136" s="1">
        <f>IFERROR(__xludf.DUMMYFUNCTION("""COMPUTED_VALUE"""),158.0)</f>
        <v>158</v>
      </c>
      <c r="D2136" s="1">
        <f>IFERROR(__xludf.DUMMYFUNCTION("""COMPUTED_VALUE"""),154.04)</f>
        <v>154.04</v>
      </c>
      <c r="E2136" s="1">
        <f>IFERROR(__xludf.DUMMYFUNCTION("""COMPUTED_VALUE"""),157.01)</f>
        <v>157.01</v>
      </c>
      <c r="F2136" s="1">
        <f>IFERROR(__xludf.DUMMYFUNCTION("""COMPUTED_VALUE"""),77510.0)</f>
        <v>77510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IFERROR(__xludf.DUMMYFUNCTION("""COMPUTED_VALUE"""),156.95)</f>
        <v>156.95</v>
      </c>
      <c r="C2137" s="1">
        <f>IFERROR(__xludf.DUMMYFUNCTION("""COMPUTED_VALUE"""),158.41)</f>
        <v>158.41</v>
      </c>
      <c r="D2137" s="1">
        <f>IFERROR(__xludf.DUMMYFUNCTION("""COMPUTED_VALUE"""),154.06)</f>
        <v>154.06</v>
      </c>
      <c r="E2137" s="1">
        <f>IFERROR(__xludf.DUMMYFUNCTION("""COMPUTED_VALUE"""),154.31)</f>
        <v>154.31</v>
      </c>
      <c r="F2137" s="1">
        <f>IFERROR(__xludf.DUMMYFUNCTION("""COMPUTED_VALUE"""),62484.0)</f>
        <v>62484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IFERROR(__xludf.DUMMYFUNCTION("""COMPUTED_VALUE"""),153.99)</f>
        <v>153.99</v>
      </c>
      <c r="C2138" s="1">
        <f>IFERROR(__xludf.DUMMYFUNCTION("""COMPUTED_VALUE"""),156.04)</f>
        <v>156.04</v>
      </c>
      <c r="D2138" s="1">
        <f>IFERROR(__xludf.DUMMYFUNCTION("""COMPUTED_VALUE"""),152.56)</f>
        <v>152.56</v>
      </c>
      <c r="E2138" s="1">
        <f>IFERROR(__xludf.DUMMYFUNCTION("""COMPUTED_VALUE"""),153.38)</f>
        <v>153.38</v>
      </c>
      <c r="F2138" s="1">
        <f>IFERROR(__xludf.DUMMYFUNCTION("""COMPUTED_VALUE"""),79544.0)</f>
        <v>79544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IFERROR(__xludf.DUMMYFUNCTION("""COMPUTED_VALUE"""),153.01)</f>
        <v>153.01</v>
      </c>
      <c r="C2139" s="1">
        <f>IFERROR(__xludf.DUMMYFUNCTION("""COMPUTED_VALUE"""),154.0)</f>
        <v>154</v>
      </c>
      <c r="D2139" s="1">
        <f>IFERROR(__xludf.DUMMYFUNCTION("""COMPUTED_VALUE"""),152.23)</f>
        <v>152.23</v>
      </c>
      <c r="E2139" s="1">
        <f>IFERROR(__xludf.DUMMYFUNCTION("""COMPUTED_VALUE"""),152.47)</f>
        <v>152.47</v>
      </c>
      <c r="F2139" s="1">
        <f>IFERROR(__xludf.DUMMYFUNCTION("""COMPUTED_VALUE"""),78979.0)</f>
        <v>78979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IFERROR(__xludf.DUMMYFUNCTION("""COMPUTED_VALUE"""),152.18)</f>
        <v>152.18</v>
      </c>
      <c r="C2140" s="1">
        <f>IFERROR(__xludf.DUMMYFUNCTION("""COMPUTED_VALUE"""),153.28)</f>
        <v>153.28</v>
      </c>
      <c r="D2140" s="1">
        <f>IFERROR(__xludf.DUMMYFUNCTION("""COMPUTED_VALUE"""),150.7)</f>
        <v>150.7</v>
      </c>
      <c r="E2140" s="1">
        <f>IFERROR(__xludf.DUMMYFUNCTION("""COMPUTED_VALUE"""),152.92)</f>
        <v>152.92</v>
      </c>
      <c r="F2140" s="1">
        <f>IFERROR(__xludf.DUMMYFUNCTION("""COMPUTED_VALUE"""),100388.0)</f>
        <v>100388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IFERROR(__xludf.DUMMYFUNCTION("""COMPUTED_VALUE"""),153.67)</f>
        <v>153.67</v>
      </c>
      <c r="C2141" s="1">
        <f>IFERROR(__xludf.DUMMYFUNCTION("""COMPUTED_VALUE"""),153.73)</f>
        <v>153.73</v>
      </c>
      <c r="D2141" s="1">
        <f>IFERROR(__xludf.DUMMYFUNCTION("""COMPUTED_VALUE"""),151.35)</f>
        <v>151.35</v>
      </c>
      <c r="E2141" s="1">
        <f>IFERROR(__xludf.DUMMYFUNCTION("""COMPUTED_VALUE"""),153.32)</f>
        <v>153.32</v>
      </c>
      <c r="F2141" s="1">
        <f>IFERROR(__xludf.DUMMYFUNCTION("""COMPUTED_VALUE"""),55547.0)</f>
        <v>55547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IFERROR(__xludf.DUMMYFUNCTION("""COMPUTED_VALUE"""),153.95)</f>
        <v>153.95</v>
      </c>
      <c r="C2142" s="1">
        <f>IFERROR(__xludf.DUMMYFUNCTION("""COMPUTED_VALUE"""),156.0)</f>
        <v>156</v>
      </c>
      <c r="D2142" s="1">
        <f>IFERROR(__xludf.DUMMYFUNCTION("""COMPUTED_VALUE"""),152.46)</f>
        <v>152.46</v>
      </c>
      <c r="E2142" s="1">
        <f>IFERROR(__xludf.DUMMYFUNCTION("""COMPUTED_VALUE"""),155.81)</f>
        <v>155.81</v>
      </c>
      <c r="F2142" s="1">
        <f>IFERROR(__xludf.DUMMYFUNCTION("""COMPUTED_VALUE"""),199370.0)</f>
        <v>199370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IFERROR(__xludf.DUMMYFUNCTION("""COMPUTED_VALUE"""),156.0)</f>
        <v>156</v>
      </c>
      <c r="C2143" s="1">
        <f>IFERROR(__xludf.DUMMYFUNCTION("""COMPUTED_VALUE"""),158.44)</f>
        <v>158.44</v>
      </c>
      <c r="D2143" s="1">
        <f>IFERROR(__xludf.DUMMYFUNCTION("""COMPUTED_VALUE"""),154.8)</f>
        <v>154.8</v>
      </c>
      <c r="E2143" s="1">
        <f>IFERROR(__xludf.DUMMYFUNCTION("""COMPUTED_VALUE"""),158.43)</f>
        <v>158.43</v>
      </c>
      <c r="F2143" s="1">
        <f>IFERROR(__xludf.DUMMYFUNCTION("""COMPUTED_VALUE"""),127431.0)</f>
        <v>127431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IFERROR(__xludf.DUMMYFUNCTION("""COMPUTED_VALUE"""),158.6)</f>
        <v>158.6</v>
      </c>
      <c r="C2144" s="1">
        <f>IFERROR(__xludf.DUMMYFUNCTION("""COMPUTED_VALUE"""),159.05)</f>
        <v>159.05</v>
      </c>
      <c r="D2144" s="1">
        <f>IFERROR(__xludf.DUMMYFUNCTION("""COMPUTED_VALUE"""),154.44)</f>
        <v>154.44</v>
      </c>
      <c r="E2144" s="1">
        <f>IFERROR(__xludf.DUMMYFUNCTION("""COMPUTED_VALUE"""),154.53)</f>
        <v>154.53</v>
      </c>
      <c r="F2144" s="1">
        <f>IFERROR(__xludf.DUMMYFUNCTION("""COMPUTED_VALUE"""),97661.0)</f>
        <v>97661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IFERROR(__xludf.DUMMYFUNCTION("""COMPUTED_VALUE"""),154.76)</f>
        <v>154.76</v>
      </c>
      <c r="C2145" s="1">
        <f>IFERROR(__xludf.DUMMYFUNCTION("""COMPUTED_VALUE"""),156.48)</f>
        <v>156.48</v>
      </c>
      <c r="D2145" s="1">
        <f>IFERROR(__xludf.DUMMYFUNCTION("""COMPUTED_VALUE"""),154.07)</f>
        <v>154.07</v>
      </c>
      <c r="E2145" s="1">
        <f>IFERROR(__xludf.DUMMYFUNCTION("""COMPUTED_VALUE"""),156.27)</f>
        <v>156.27</v>
      </c>
      <c r="F2145" s="1">
        <f>IFERROR(__xludf.DUMMYFUNCTION("""COMPUTED_VALUE"""),73893.0)</f>
        <v>73893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IFERROR(__xludf.DUMMYFUNCTION("""COMPUTED_VALUE"""),156.0)</f>
        <v>156</v>
      </c>
      <c r="C2146" s="1">
        <f>IFERROR(__xludf.DUMMYFUNCTION("""COMPUTED_VALUE"""),157.79)</f>
        <v>157.79</v>
      </c>
      <c r="D2146" s="1">
        <f>IFERROR(__xludf.DUMMYFUNCTION("""COMPUTED_VALUE"""),153.67)</f>
        <v>153.67</v>
      </c>
      <c r="E2146" s="1">
        <f>IFERROR(__xludf.DUMMYFUNCTION("""COMPUTED_VALUE"""),155.05)</f>
        <v>155.05</v>
      </c>
      <c r="F2146" s="1">
        <f>IFERROR(__xludf.DUMMYFUNCTION("""COMPUTED_VALUE"""),64701.0)</f>
        <v>64701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IFERROR(__xludf.DUMMYFUNCTION("""COMPUTED_VALUE"""),155.81)</f>
        <v>155.81</v>
      </c>
      <c r="C2147" s="1">
        <f>IFERROR(__xludf.DUMMYFUNCTION("""COMPUTED_VALUE"""),156.41)</f>
        <v>156.41</v>
      </c>
      <c r="D2147" s="1">
        <f>IFERROR(__xludf.DUMMYFUNCTION("""COMPUTED_VALUE"""),154.36)</f>
        <v>154.36</v>
      </c>
      <c r="E2147" s="1">
        <f>IFERROR(__xludf.DUMMYFUNCTION("""COMPUTED_VALUE"""),156.0)</f>
        <v>156</v>
      </c>
      <c r="F2147" s="1">
        <f>IFERROR(__xludf.DUMMYFUNCTION("""COMPUTED_VALUE"""),72010.0)</f>
        <v>72010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IFERROR(__xludf.DUMMYFUNCTION("""COMPUTED_VALUE"""),155.64)</f>
        <v>155.64</v>
      </c>
      <c r="C2148" s="1">
        <f>IFERROR(__xludf.DUMMYFUNCTION("""COMPUTED_VALUE"""),158.01)</f>
        <v>158.01</v>
      </c>
      <c r="D2148" s="1">
        <f>IFERROR(__xludf.DUMMYFUNCTION("""COMPUTED_VALUE"""),155.45)</f>
        <v>155.45</v>
      </c>
      <c r="E2148" s="1">
        <f>IFERROR(__xludf.DUMMYFUNCTION("""COMPUTED_VALUE"""),156.41)</f>
        <v>156.41</v>
      </c>
      <c r="F2148" s="1">
        <f>IFERROR(__xludf.DUMMYFUNCTION("""COMPUTED_VALUE"""),42859.0)</f>
        <v>42859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IFERROR(__xludf.DUMMYFUNCTION("""COMPUTED_VALUE"""),156.63)</f>
        <v>156.63</v>
      </c>
      <c r="C2149" s="1">
        <f>IFERROR(__xludf.DUMMYFUNCTION("""COMPUTED_VALUE"""),156.95)</f>
        <v>156.95</v>
      </c>
      <c r="D2149" s="1">
        <f>IFERROR(__xludf.DUMMYFUNCTION("""COMPUTED_VALUE"""),154.57)</f>
        <v>154.57</v>
      </c>
      <c r="E2149" s="1">
        <f>IFERROR(__xludf.DUMMYFUNCTION("""COMPUTED_VALUE"""),155.33)</f>
        <v>155.33</v>
      </c>
      <c r="F2149" s="1">
        <f>IFERROR(__xludf.DUMMYFUNCTION("""COMPUTED_VALUE"""),59584.0)</f>
        <v>59584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IFERROR(__xludf.DUMMYFUNCTION("""COMPUTED_VALUE"""),155.77)</f>
        <v>155.77</v>
      </c>
      <c r="C2150" s="1">
        <f>IFERROR(__xludf.DUMMYFUNCTION("""COMPUTED_VALUE"""),157.96)</f>
        <v>157.96</v>
      </c>
      <c r="D2150" s="1">
        <f>IFERROR(__xludf.DUMMYFUNCTION("""COMPUTED_VALUE"""),154.96)</f>
        <v>154.96</v>
      </c>
      <c r="E2150" s="1">
        <f>IFERROR(__xludf.DUMMYFUNCTION("""COMPUTED_VALUE"""),156.76)</f>
        <v>156.76</v>
      </c>
      <c r="F2150" s="1">
        <f>IFERROR(__xludf.DUMMYFUNCTION("""COMPUTED_VALUE"""),48234.0)</f>
        <v>48234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IFERROR(__xludf.DUMMYFUNCTION("""COMPUTED_VALUE"""),156.9)</f>
        <v>156.9</v>
      </c>
      <c r="C2151" s="1">
        <f>IFERROR(__xludf.DUMMYFUNCTION("""COMPUTED_VALUE"""),157.04)</f>
        <v>157.04</v>
      </c>
      <c r="D2151" s="1">
        <f>IFERROR(__xludf.DUMMYFUNCTION("""COMPUTED_VALUE"""),153.12)</f>
        <v>153.12</v>
      </c>
      <c r="E2151" s="1">
        <f>IFERROR(__xludf.DUMMYFUNCTION("""COMPUTED_VALUE"""),154.1)</f>
        <v>154.1</v>
      </c>
      <c r="F2151" s="1">
        <f>IFERROR(__xludf.DUMMYFUNCTION("""COMPUTED_VALUE"""),69538.0)</f>
        <v>69538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IFERROR(__xludf.DUMMYFUNCTION("""COMPUTED_VALUE"""),153.98)</f>
        <v>153.98</v>
      </c>
      <c r="C2152" s="1">
        <f>IFERROR(__xludf.DUMMYFUNCTION("""COMPUTED_VALUE"""),155.95)</f>
        <v>155.95</v>
      </c>
      <c r="D2152" s="1">
        <f>IFERROR(__xludf.DUMMYFUNCTION("""COMPUTED_VALUE"""),153.51)</f>
        <v>153.51</v>
      </c>
      <c r="E2152" s="1">
        <f>IFERROR(__xludf.DUMMYFUNCTION("""COMPUTED_VALUE"""),155.44)</f>
        <v>155.44</v>
      </c>
      <c r="F2152" s="1">
        <f>IFERROR(__xludf.DUMMYFUNCTION("""COMPUTED_VALUE"""),54629.0)</f>
        <v>54629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IFERROR(__xludf.DUMMYFUNCTION("""COMPUTED_VALUE"""),155.12)</f>
        <v>155.12</v>
      </c>
      <c r="C2153" s="1">
        <f>IFERROR(__xludf.DUMMYFUNCTION("""COMPUTED_VALUE"""),155.76)</f>
        <v>155.76</v>
      </c>
      <c r="D2153" s="1">
        <f>IFERROR(__xludf.DUMMYFUNCTION("""COMPUTED_VALUE"""),154.7)</f>
        <v>154.7</v>
      </c>
      <c r="E2153" s="1">
        <f>IFERROR(__xludf.DUMMYFUNCTION("""COMPUTED_VALUE"""),155.4)</f>
        <v>155.4</v>
      </c>
      <c r="F2153" s="1">
        <f>IFERROR(__xludf.DUMMYFUNCTION("""COMPUTED_VALUE"""),41182.0)</f>
        <v>41182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IFERROR(__xludf.DUMMYFUNCTION("""COMPUTED_VALUE"""),154.9)</f>
        <v>154.9</v>
      </c>
      <c r="C2154" s="1">
        <f>IFERROR(__xludf.DUMMYFUNCTION("""COMPUTED_VALUE"""),155.4)</f>
        <v>155.4</v>
      </c>
      <c r="D2154" s="1">
        <f>IFERROR(__xludf.DUMMYFUNCTION("""COMPUTED_VALUE"""),153.69)</f>
        <v>153.69</v>
      </c>
      <c r="E2154" s="1">
        <f>IFERROR(__xludf.DUMMYFUNCTION("""COMPUTED_VALUE"""),154.46)</f>
        <v>154.46</v>
      </c>
      <c r="F2154" s="1">
        <f>IFERROR(__xludf.DUMMYFUNCTION("""COMPUTED_VALUE"""),49180.0)</f>
        <v>49180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IFERROR(__xludf.DUMMYFUNCTION("""COMPUTED_VALUE"""),154.98)</f>
        <v>154.98</v>
      </c>
      <c r="C2155" s="1">
        <f>IFERROR(__xludf.DUMMYFUNCTION("""COMPUTED_VALUE"""),155.21)</f>
        <v>155.21</v>
      </c>
      <c r="D2155" s="1">
        <f>IFERROR(__xludf.DUMMYFUNCTION("""COMPUTED_VALUE"""),153.12)</f>
        <v>153.12</v>
      </c>
      <c r="E2155" s="1">
        <f>IFERROR(__xludf.DUMMYFUNCTION("""COMPUTED_VALUE"""),154.25)</f>
        <v>154.25</v>
      </c>
      <c r="F2155" s="1">
        <f>IFERROR(__xludf.DUMMYFUNCTION("""COMPUTED_VALUE"""),45251.0)</f>
        <v>45251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IFERROR(__xludf.DUMMYFUNCTION("""COMPUTED_VALUE"""),154.44)</f>
        <v>154.44</v>
      </c>
      <c r="C2156" s="1">
        <f>IFERROR(__xludf.DUMMYFUNCTION("""COMPUTED_VALUE"""),154.44)</f>
        <v>154.44</v>
      </c>
      <c r="D2156" s="1">
        <f>IFERROR(__xludf.DUMMYFUNCTION("""COMPUTED_VALUE"""),152.37)</f>
        <v>152.37</v>
      </c>
      <c r="E2156" s="1">
        <f>IFERROR(__xludf.DUMMYFUNCTION("""COMPUTED_VALUE"""),153.99)</f>
        <v>153.99</v>
      </c>
      <c r="F2156" s="1">
        <f>IFERROR(__xludf.DUMMYFUNCTION("""COMPUTED_VALUE"""),26046.0)</f>
        <v>26046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IFERROR(__xludf.DUMMYFUNCTION("""COMPUTED_VALUE"""),154.39)</f>
        <v>154.39</v>
      </c>
      <c r="C2157" s="1">
        <f>IFERROR(__xludf.DUMMYFUNCTION("""COMPUTED_VALUE"""),155.63)</f>
        <v>155.63</v>
      </c>
      <c r="D2157" s="1">
        <f>IFERROR(__xludf.DUMMYFUNCTION("""COMPUTED_VALUE"""),154.11)</f>
        <v>154.11</v>
      </c>
      <c r="E2157" s="1">
        <f>IFERROR(__xludf.DUMMYFUNCTION("""COMPUTED_VALUE"""),155.07)</f>
        <v>155.07</v>
      </c>
      <c r="F2157" s="1">
        <f>IFERROR(__xludf.DUMMYFUNCTION("""COMPUTED_VALUE"""),69569.0)</f>
        <v>69569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IFERROR(__xludf.DUMMYFUNCTION("""COMPUTED_VALUE"""),154.82)</f>
        <v>154.82</v>
      </c>
      <c r="C2158" s="1">
        <f>IFERROR(__xludf.DUMMYFUNCTION("""COMPUTED_VALUE"""),155.46)</f>
        <v>155.46</v>
      </c>
      <c r="D2158" s="1">
        <f>IFERROR(__xludf.DUMMYFUNCTION("""COMPUTED_VALUE"""),153.1)</f>
        <v>153.1</v>
      </c>
      <c r="E2158" s="1">
        <f>IFERROR(__xludf.DUMMYFUNCTION("""COMPUTED_VALUE"""),153.39)</f>
        <v>153.39</v>
      </c>
      <c r="F2158" s="1">
        <f>IFERROR(__xludf.DUMMYFUNCTION("""COMPUTED_VALUE"""),39239.0)</f>
        <v>39239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IFERROR(__xludf.DUMMYFUNCTION("""COMPUTED_VALUE"""),153.43)</f>
        <v>153.43</v>
      </c>
      <c r="C2159" s="1">
        <f>IFERROR(__xludf.DUMMYFUNCTION("""COMPUTED_VALUE"""),154.77)</f>
        <v>154.77</v>
      </c>
      <c r="D2159" s="1">
        <f>IFERROR(__xludf.DUMMYFUNCTION("""COMPUTED_VALUE"""),151.0)</f>
        <v>151</v>
      </c>
      <c r="E2159" s="1">
        <f>IFERROR(__xludf.DUMMYFUNCTION("""COMPUTED_VALUE"""),153.61)</f>
        <v>153.61</v>
      </c>
      <c r="F2159" s="1">
        <f>IFERROR(__xludf.DUMMYFUNCTION("""COMPUTED_VALUE"""),55116.0)</f>
        <v>55116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IFERROR(__xludf.DUMMYFUNCTION("""COMPUTED_VALUE"""),149.4)</f>
        <v>149.4</v>
      </c>
      <c r="C2160" s="1">
        <f>IFERROR(__xludf.DUMMYFUNCTION("""COMPUTED_VALUE"""),150.0)</f>
        <v>150</v>
      </c>
      <c r="D2160" s="1">
        <f>IFERROR(__xludf.DUMMYFUNCTION("""COMPUTED_VALUE"""),141.04)</f>
        <v>141.04</v>
      </c>
      <c r="E2160" s="1">
        <f>IFERROR(__xludf.DUMMYFUNCTION("""COMPUTED_VALUE"""),144.96)</f>
        <v>144.96</v>
      </c>
      <c r="F2160" s="1">
        <f>IFERROR(__xludf.DUMMYFUNCTION("""COMPUTED_VALUE"""),166316.0)</f>
        <v>166316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IFERROR(__xludf.DUMMYFUNCTION("""COMPUTED_VALUE"""),144.55)</f>
        <v>144.55</v>
      </c>
      <c r="C2161" s="1">
        <f>IFERROR(__xludf.DUMMYFUNCTION("""COMPUTED_VALUE"""),147.95)</f>
        <v>147.95</v>
      </c>
      <c r="D2161" s="1">
        <f>IFERROR(__xludf.DUMMYFUNCTION("""COMPUTED_VALUE"""),140.71)</f>
        <v>140.71</v>
      </c>
      <c r="E2161" s="1">
        <f>IFERROR(__xludf.DUMMYFUNCTION("""COMPUTED_VALUE"""),141.22)</f>
        <v>141.22</v>
      </c>
      <c r="F2161" s="1">
        <f>IFERROR(__xludf.DUMMYFUNCTION("""COMPUTED_VALUE"""),116867.0)</f>
        <v>116867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IFERROR(__xludf.DUMMYFUNCTION("""COMPUTED_VALUE"""),140.58)</f>
        <v>140.58</v>
      </c>
      <c r="C2162" s="1">
        <f>IFERROR(__xludf.DUMMYFUNCTION("""COMPUTED_VALUE"""),143.4)</f>
        <v>143.4</v>
      </c>
      <c r="D2162" s="1">
        <f>IFERROR(__xludf.DUMMYFUNCTION("""COMPUTED_VALUE"""),140.58)</f>
        <v>140.58</v>
      </c>
      <c r="E2162" s="1">
        <f>IFERROR(__xludf.DUMMYFUNCTION("""COMPUTED_VALUE"""),141.82)</f>
        <v>141.82</v>
      </c>
      <c r="F2162" s="1">
        <f>IFERROR(__xludf.DUMMYFUNCTION("""COMPUTED_VALUE"""),63312.0)</f>
        <v>63312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IFERROR(__xludf.DUMMYFUNCTION("""COMPUTED_VALUE"""),141.98)</f>
        <v>141.98</v>
      </c>
      <c r="C2163" s="1">
        <f>IFERROR(__xludf.DUMMYFUNCTION("""COMPUTED_VALUE"""),143.56)</f>
        <v>143.56</v>
      </c>
      <c r="D2163" s="1">
        <f>IFERROR(__xludf.DUMMYFUNCTION("""COMPUTED_VALUE"""),139.9)</f>
        <v>139.9</v>
      </c>
      <c r="E2163" s="1">
        <f>IFERROR(__xludf.DUMMYFUNCTION("""COMPUTED_VALUE"""),141.41)</f>
        <v>141.41</v>
      </c>
      <c r="F2163" s="1">
        <f>IFERROR(__xludf.DUMMYFUNCTION("""COMPUTED_VALUE"""),129186.0)</f>
        <v>129186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IFERROR(__xludf.DUMMYFUNCTION("""COMPUTED_VALUE"""),141.81)</f>
        <v>141.81</v>
      </c>
      <c r="C2164" s="1">
        <f>IFERROR(__xludf.DUMMYFUNCTION("""COMPUTED_VALUE"""),144.79)</f>
        <v>144.79</v>
      </c>
      <c r="D2164" s="1">
        <f>IFERROR(__xludf.DUMMYFUNCTION("""COMPUTED_VALUE"""),140.66)</f>
        <v>140.66</v>
      </c>
      <c r="E2164" s="1">
        <f>IFERROR(__xludf.DUMMYFUNCTION("""COMPUTED_VALUE"""),142.26)</f>
        <v>142.26</v>
      </c>
      <c r="F2164" s="1">
        <f>IFERROR(__xludf.DUMMYFUNCTION("""COMPUTED_VALUE"""),67564.0)</f>
        <v>67564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IFERROR(__xludf.DUMMYFUNCTION("""COMPUTED_VALUE"""),142.42)</f>
        <v>142.42</v>
      </c>
      <c r="C2165" s="1">
        <f>IFERROR(__xludf.DUMMYFUNCTION("""COMPUTED_VALUE"""),145.29)</f>
        <v>145.29</v>
      </c>
      <c r="D2165" s="1">
        <f>IFERROR(__xludf.DUMMYFUNCTION("""COMPUTED_VALUE"""),141.5)</f>
        <v>141.5</v>
      </c>
      <c r="E2165" s="1">
        <f>IFERROR(__xludf.DUMMYFUNCTION("""COMPUTED_VALUE"""),144.63)</f>
        <v>144.63</v>
      </c>
      <c r="F2165" s="1">
        <f>IFERROR(__xludf.DUMMYFUNCTION("""COMPUTED_VALUE"""),63457.0)</f>
        <v>63457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IFERROR(__xludf.DUMMYFUNCTION("""COMPUTED_VALUE"""),144.27)</f>
        <v>144.27</v>
      </c>
      <c r="C2166" s="1">
        <f>IFERROR(__xludf.DUMMYFUNCTION("""COMPUTED_VALUE"""),145.2)</f>
        <v>145.2</v>
      </c>
      <c r="D2166" s="1">
        <f>IFERROR(__xludf.DUMMYFUNCTION("""COMPUTED_VALUE"""),142.52)</f>
        <v>142.52</v>
      </c>
      <c r="E2166" s="1">
        <f>IFERROR(__xludf.DUMMYFUNCTION("""COMPUTED_VALUE"""),143.21)</f>
        <v>143.21</v>
      </c>
      <c r="F2166" s="1">
        <f>IFERROR(__xludf.DUMMYFUNCTION("""COMPUTED_VALUE"""),53659.0)</f>
        <v>53659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IFERROR(__xludf.DUMMYFUNCTION("""COMPUTED_VALUE"""),143.67)</f>
        <v>143.67</v>
      </c>
      <c r="C2167" s="1">
        <f>IFERROR(__xludf.DUMMYFUNCTION("""COMPUTED_VALUE"""),144.93)</f>
        <v>144.93</v>
      </c>
      <c r="D2167" s="1">
        <f>IFERROR(__xludf.DUMMYFUNCTION("""COMPUTED_VALUE"""),142.74)</f>
        <v>142.74</v>
      </c>
      <c r="E2167" s="1">
        <f>IFERROR(__xludf.DUMMYFUNCTION("""COMPUTED_VALUE"""),144.14)</f>
        <v>144.14</v>
      </c>
      <c r="F2167" s="1">
        <f>IFERROR(__xludf.DUMMYFUNCTION("""COMPUTED_VALUE"""),37485.0)</f>
        <v>37485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IFERROR(__xludf.DUMMYFUNCTION("""COMPUTED_VALUE"""),143.45)</f>
        <v>143.45</v>
      </c>
      <c r="C2168" s="1">
        <f>IFERROR(__xludf.DUMMYFUNCTION("""COMPUTED_VALUE"""),144.82)</f>
        <v>144.82</v>
      </c>
      <c r="D2168" s="1">
        <f>IFERROR(__xludf.DUMMYFUNCTION("""COMPUTED_VALUE"""),142.6)</f>
        <v>142.6</v>
      </c>
      <c r="E2168" s="1">
        <f>IFERROR(__xludf.DUMMYFUNCTION("""COMPUTED_VALUE"""),142.9)</f>
        <v>142.9</v>
      </c>
      <c r="F2168" s="1">
        <f>IFERROR(__xludf.DUMMYFUNCTION("""COMPUTED_VALUE"""),57567.0)</f>
        <v>57567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IFERROR(__xludf.DUMMYFUNCTION("""COMPUTED_VALUE"""),142.87)</f>
        <v>142.87</v>
      </c>
      <c r="C2169" s="1">
        <f>IFERROR(__xludf.DUMMYFUNCTION("""COMPUTED_VALUE"""),143.98)</f>
        <v>143.98</v>
      </c>
      <c r="D2169" s="1">
        <f>IFERROR(__xludf.DUMMYFUNCTION("""COMPUTED_VALUE"""),141.72)</f>
        <v>141.72</v>
      </c>
      <c r="E2169" s="1">
        <f>IFERROR(__xludf.DUMMYFUNCTION("""COMPUTED_VALUE"""),143.4)</f>
        <v>143.4</v>
      </c>
      <c r="F2169" s="1">
        <f>IFERROR(__xludf.DUMMYFUNCTION("""COMPUTED_VALUE"""),34998.0)</f>
        <v>34998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IFERROR(__xludf.DUMMYFUNCTION("""COMPUTED_VALUE"""),143.52)</f>
        <v>143.52</v>
      </c>
      <c r="C2170" s="1">
        <f>IFERROR(__xludf.DUMMYFUNCTION("""COMPUTED_VALUE"""),146.22)</f>
        <v>146.22</v>
      </c>
      <c r="D2170" s="1">
        <f>IFERROR(__xludf.DUMMYFUNCTION("""COMPUTED_VALUE"""),143.52)</f>
        <v>143.52</v>
      </c>
      <c r="E2170" s="1">
        <f>IFERROR(__xludf.DUMMYFUNCTION("""COMPUTED_VALUE"""),144.8)</f>
        <v>144.8</v>
      </c>
      <c r="F2170" s="1">
        <f>IFERROR(__xludf.DUMMYFUNCTION("""COMPUTED_VALUE"""),48446.0)</f>
        <v>48446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IFERROR(__xludf.DUMMYFUNCTION("""COMPUTED_VALUE"""),144.18)</f>
        <v>144.18</v>
      </c>
      <c r="C2171" s="1">
        <f>IFERROR(__xludf.DUMMYFUNCTION("""COMPUTED_VALUE"""),145.4)</f>
        <v>145.4</v>
      </c>
      <c r="D2171" s="1">
        <f>IFERROR(__xludf.DUMMYFUNCTION("""COMPUTED_VALUE"""),143.53)</f>
        <v>143.53</v>
      </c>
      <c r="E2171" s="1">
        <f>IFERROR(__xludf.DUMMYFUNCTION("""COMPUTED_VALUE"""),144.76)</f>
        <v>144.76</v>
      </c>
      <c r="F2171" s="1">
        <f>IFERROR(__xludf.DUMMYFUNCTION("""COMPUTED_VALUE"""),39285.0)</f>
        <v>39285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IFERROR(__xludf.DUMMYFUNCTION("""COMPUTED_VALUE"""),145.19)</f>
        <v>145.19</v>
      </c>
      <c r="C2172" s="1">
        <f>IFERROR(__xludf.DUMMYFUNCTION("""COMPUTED_VALUE"""),146.58)</f>
        <v>146.58</v>
      </c>
      <c r="D2172" s="1">
        <f>IFERROR(__xludf.DUMMYFUNCTION("""COMPUTED_VALUE"""),144.26)</f>
        <v>144.26</v>
      </c>
      <c r="E2172" s="1">
        <f>IFERROR(__xludf.DUMMYFUNCTION("""COMPUTED_VALUE"""),145.73)</f>
        <v>145.73</v>
      </c>
      <c r="F2172" s="1">
        <f>IFERROR(__xludf.DUMMYFUNCTION("""COMPUTED_VALUE"""),38301.0)</f>
        <v>38301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IFERROR(__xludf.DUMMYFUNCTION("""COMPUTED_VALUE"""),145.62)</f>
        <v>145.62</v>
      </c>
      <c r="C2173" s="1">
        <f>IFERROR(__xludf.DUMMYFUNCTION("""COMPUTED_VALUE"""),146.45)</f>
        <v>146.45</v>
      </c>
      <c r="D2173" s="1">
        <f>IFERROR(__xludf.DUMMYFUNCTION("""COMPUTED_VALUE"""),144.62)</f>
        <v>144.62</v>
      </c>
      <c r="E2173" s="1">
        <f>IFERROR(__xludf.DUMMYFUNCTION("""COMPUTED_VALUE"""),144.8)</f>
        <v>144.8</v>
      </c>
      <c r="F2173" s="1">
        <f>IFERROR(__xludf.DUMMYFUNCTION("""COMPUTED_VALUE"""),92195.0)</f>
        <v>92195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IFERROR(__xludf.DUMMYFUNCTION("""COMPUTED_VALUE"""),145.41)</f>
        <v>145.41</v>
      </c>
      <c r="C2174" s="1">
        <f>IFERROR(__xludf.DUMMYFUNCTION("""COMPUTED_VALUE"""),146.22)</f>
        <v>146.22</v>
      </c>
      <c r="D2174" s="1">
        <f>IFERROR(__xludf.DUMMYFUNCTION("""COMPUTED_VALUE"""),145.03)</f>
        <v>145.03</v>
      </c>
      <c r="E2174" s="1">
        <f>IFERROR(__xludf.DUMMYFUNCTION("""COMPUTED_VALUE"""),145.61)</f>
        <v>145.61</v>
      </c>
      <c r="F2174" s="1">
        <f>IFERROR(__xludf.DUMMYFUNCTION("""COMPUTED_VALUE"""),42247.0)</f>
        <v>42247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IFERROR(__xludf.DUMMYFUNCTION("""COMPUTED_VALUE"""),145.37)</f>
        <v>145.37</v>
      </c>
      <c r="C2175" s="1">
        <f>IFERROR(__xludf.DUMMYFUNCTION("""COMPUTED_VALUE"""),146.41)</f>
        <v>146.41</v>
      </c>
      <c r="D2175" s="1">
        <f>IFERROR(__xludf.DUMMYFUNCTION("""COMPUTED_VALUE"""),143.07)</f>
        <v>143.07</v>
      </c>
      <c r="E2175" s="1">
        <f>IFERROR(__xludf.DUMMYFUNCTION("""COMPUTED_VALUE"""),145.3)</f>
        <v>145.3</v>
      </c>
      <c r="F2175" s="1">
        <f>IFERROR(__xludf.DUMMYFUNCTION("""COMPUTED_VALUE"""),42179.0)</f>
        <v>42179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IFERROR(__xludf.DUMMYFUNCTION("""COMPUTED_VALUE"""),144.78)</f>
        <v>144.78</v>
      </c>
      <c r="C2176" s="1">
        <f>IFERROR(__xludf.DUMMYFUNCTION("""COMPUTED_VALUE"""),145.12)</f>
        <v>145.12</v>
      </c>
      <c r="D2176" s="1">
        <f>IFERROR(__xludf.DUMMYFUNCTION("""COMPUTED_VALUE"""),143.07)</f>
        <v>143.07</v>
      </c>
      <c r="E2176" s="1">
        <f>IFERROR(__xludf.DUMMYFUNCTION("""COMPUTED_VALUE"""),143.69)</f>
        <v>143.69</v>
      </c>
      <c r="F2176" s="1">
        <f>IFERROR(__xludf.DUMMYFUNCTION("""COMPUTED_VALUE"""),54086.0)</f>
        <v>54086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IFERROR(__xludf.DUMMYFUNCTION("""COMPUTED_VALUE"""),143.27)</f>
        <v>143.27</v>
      </c>
      <c r="C2177" s="1">
        <f>IFERROR(__xludf.DUMMYFUNCTION("""COMPUTED_VALUE"""),145.39)</f>
        <v>145.39</v>
      </c>
      <c r="D2177" s="1">
        <f>IFERROR(__xludf.DUMMYFUNCTION("""COMPUTED_VALUE"""),142.36)</f>
        <v>142.36</v>
      </c>
      <c r="E2177" s="1">
        <f>IFERROR(__xludf.DUMMYFUNCTION("""COMPUTED_VALUE"""),143.18)</f>
        <v>143.18</v>
      </c>
      <c r="F2177" s="1">
        <f>IFERROR(__xludf.DUMMYFUNCTION("""COMPUTED_VALUE"""),60229.0)</f>
        <v>60229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IFERROR(__xludf.DUMMYFUNCTION("""COMPUTED_VALUE"""),143.55)</f>
        <v>143.55</v>
      </c>
      <c r="C2178" s="1">
        <f>IFERROR(__xludf.DUMMYFUNCTION("""COMPUTED_VALUE"""),145.35)</f>
        <v>145.35</v>
      </c>
      <c r="D2178" s="1">
        <f>IFERROR(__xludf.DUMMYFUNCTION("""COMPUTED_VALUE"""),142.73)</f>
        <v>142.73</v>
      </c>
      <c r="E2178" s="1">
        <f>IFERROR(__xludf.DUMMYFUNCTION("""COMPUTED_VALUE"""),143.38)</f>
        <v>143.38</v>
      </c>
      <c r="F2178" s="1">
        <f>IFERROR(__xludf.DUMMYFUNCTION("""COMPUTED_VALUE"""),55289.0)</f>
        <v>55289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IFERROR(__xludf.DUMMYFUNCTION("""COMPUTED_VALUE"""),144.19)</f>
        <v>144.19</v>
      </c>
      <c r="C2179" s="1">
        <f>IFERROR(__xludf.DUMMYFUNCTION("""COMPUTED_VALUE"""),147.89)</f>
        <v>147.89</v>
      </c>
      <c r="D2179" s="1">
        <f>IFERROR(__xludf.DUMMYFUNCTION("""COMPUTED_VALUE"""),143.0)</f>
        <v>143</v>
      </c>
      <c r="E2179" s="1">
        <f>IFERROR(__xludf.DUMMYFUNCTION("""COMPUTED_VALUE"""),143.27)</f>
        <v>143.27</v>
      </c>
      <c r="F2179" s="1">
        <f>IFERROR(__xludf.DUMMYFUNCTION("""COMPUTED_VALUE"""),63123.0)</f>
        <v>63123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IFERROR(__xludf.DUMMYFUNCTION("""COMPUTED_VALUE"""),143.59)</f>
        <v>143.59</v>
      </c>
      <c r="C2180" s="1">
        <f>IFERROR(__xludf.DUMMYFUNCTION("""COMPUTED_VALUE"""),143.65)</f>
        <v>143.65</v>
      </c>
      <c r="D2180" s="1">
        <f>IFERROR(__xludf.DUMMYFUNCTION("""COMPUTED_VALUE"""),141.02)</f>
        <v>141.02</v>
      </c>
      <c r="E2180" s="1">
        <f>IFERROR(__xludf.DUMMYFUNCTION("""COMPUTED_VALUE"""),142.19)</f>
        <v>142.19</v>
      </c>
      <c r="F2180" s="1">
        <f>IFERROR(__xludf.DUMMYFUNCTION("""COMPUTED_VALUE"""),50606.0)</f>
        <v>50606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IFERROR(__xludf.DUMMYFUNCTION("""COMPUTED_VALUE"""),142.52)</f>
        <v>142.52</v>
      </c>
      <c r="C2181" s="1">
        <f>IFERROR(__xludf.DUMMYFUNCTION("""COMPUTED_VALUE"""),144.14)</f>
        <v>144.14</v>
      </c>
      <c r="D2181" s="1">
        <f>IFERROR(__xludf.DUMMYFUNCTION("""COMPUTED_VALUE"""),142.52)</f>
        <v>142.52</v>
      </c>
      <c r="E2181" s="1">
        <f>IFERROR(__xludf.DUMMYFUNCTION("""COMPUTED_VALUE"""),143.53)</f>
        <v>143.53</v>
      </c>
      <c r="F2181" s="1">
        <f>IFERROR(__xludf.DUMMYFUNCTION("""COMPUTED_VALUE"""),29199.0)</f>
        <v>29199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IFERROR(__xludf.DUMMYFUNCTION("""COMPUTED_VALUE"""),143.34)</f>
        <v>143.34</v>
      </c>
      <c r="C2182" s="1">
        <f>IFERROR(__xludf.DUMMYFUNCTION("""COMPUTED_VALUE"""),144.89)</f>
        <v>144.89</v>
      </c>
      <c r="D2182" s="1">
        <f>IFERROR(__xludf.DUMMYFUNCTION("""COMPUTED_VALUE"""),142.5)</f>
        <v>142.5</v>
      </c>
      <c r="E2182" s="1">
        <f>IFERROR(__xludf.DUMMYFUNCTION("""COMPUTED_VALUE"""),144.09)</f>
        <v>144.09</v>
      </c>
      <c r="F2182" s="1">
        <f>IFERROR(__xludf.DUMMYFUNCTION("""COMPUTED_VALUE"""),40220.0)</f>
        <v>40220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IFERROR(__xludf.DUMMYFUNCTION("""COMPUTED_VALUE"""),143.37)</f>
        <v>143.37</v>
      </c>
      <c r="C2183" s="1">
        <f>IFERROR(__xludf.DUMMYFUNCTION("""COMPUTED_VALUE"""),146.14)</f>
        <v>146.14</v>
      </c>
      <c r="D2183" s="1">
        <f>IFERROR(__xludf.DUMMYFUNCTION("""COMPUTED_VALUE"""),143.3)</f>
        <v>143.3</v>
      </c>
      <c r="E2183" s="1">
        <f>IFERROR(__xludf.DUMMYFUNCTION("""COMPUTED_VALUE"""),145.5)</f>
        <v>145.5</v>
      </c>
      <c r="F2183" s="1">
        <f>IFERROR(__xludf.DUMMYFUNCTION("""COMPUTED_VALUE"""),53319.0)</f>
        <v>53319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IFERROR(__xludf.DUMMYFUNCTION("""COMPUTED_VALUE"""),145.05)</f>
        <v>145.05</v>
      </c>
      <c r="C2184" s="1">
        <f>IFERROR(__xludf.DUMMYFUNCTION("""COMPUTED_VALUE"""),145.72)</f>
        <v>145.72</v>
      </c>
      <c r="D2184" s="1">
        <f>IFERROR(__xludf.DUMMYFUNCTION("""COMPUTED_VALUE"""),144.11)</f>
        <v>144.11</v>
      </c>
      <c r="E2184" s="1">
        <f>IFERROR(__xludf.DUMMYFUNCTION("""COMPUTED_VALUE"""),145.71)</f>
        <v>145.71</v>
      </c>
      <c r="F2184" s="1">
        <f>IFERROR(__xludf.DUMMYFUNCTION("""COMPUTED_VALUE"""),45968.0)</f>
        <v>45968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IFERROR(__xludf.DUMMYFUNCTION("""COMPUTED_VALUE"""),145.56)</f>
        <v>145.56</v>
      </c>
      <c r="C2185" s="1">
        <f>IFERROR(__xludf.DUMMYFUNCTION("""COMPUTED_VALUE"""),147.19)</f>
        <v>147.19</v>
      </c>
      <c r="D2185" s="1">
        <f>IFERROR(__xludf.DUMMYFUNCTION("""COMPUTED_VALUE"""),144.68)</f>
        <v>144.68</v>
      </c>
      <c r="E2185" s="1">
        <f>IFERROR(__xludf.DUMMYFUNCTION("""COMPUTED_VALUE"""),147.05)</f>
        <v>147.05</v>
      </c>
      <c r="F2185" s="1">
        <f>IFERROR(__xludf.DUMMYFUNCTION("""COMPUTED_VALUE"""),36512.0)</f>
        <v>36512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IFERROR(__xludf.DUMMYFUNCTION("""COMPUTED_VALUE"""),146.77)</f>
        <v>146.77</v>
      </c>
      <c r="C2186" s="1">
        <f>IFERROR(__xludf.DUMMYFUNCTION("""COMPUTED_VALUE"""),148.66)</f>
        <v>148.66</v>
      </c>
      <c r="D2186" s="1">
        <f>IFERROR(__xludf.DUMMYFUNCTION("""COMPUTED_VALUE"""),143.59)</f>
        <v>143.59</v>
      </c>
      <c r="E2186" s="1">
        <f>IFERROR(__xludf.DUMMYFUNCTION("""COMPUTED_VALUE"""),147.76)</f>
        <v>147.76</v>
      </c>
      <c r="F2186" s="1">
        <f>IFERROR(__xludf.DUMMYFUNCTION("""COMPUTED_VALUE"""),57462.0)</f>
        <v>57462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IFERROR(__xludf.DUMMYFUNCTION("""COMPUTED_VALUE"""),147.7)</f>
        <v>147.7</v>
      </c>
      <c r="C2187" s="1">
        <f>IFERROR(__xludf.DUMMYFUNCTION("""COMPUTED_VALUE"""),148.76)</f>
        <v>148.76</v>
      </c>
      <c r="D2187" s="1">
        <f>IFERROR(__xludf.DUMMYFUNCTION("""COMPUTED_VALUE"""),146.06)</f>
        <v>146.06</v>
      </c>
      <c r="E2187" s="1">
        <f>IFERROR(__xludf.DUMMYFUNCTION("""COMPUTED_VALUE"""),148.21)</f>
        <v>148.21</v>
      </c>
      <c r="F2187" s="1">
        <f>IFERROR(__xludf.DUMMYFUNCTION("""COMPUTED_VALUE"""),56264.0)</f>
        <v>56264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IFERROR(__xludf.DUMMYFUNCTION("""COMPUTED_VALUE"""),148.09)</f>
        <v>148.09</v>
      </c>
      <c r="C2188" s="1">
        <f>IFERROR(__xludf.DUMMYFUNCTION("""COMPUTED_VALUE"""),150.01)</f>
        <v>150.01</v>
      </c>
      <c r="D2188" s="1">
        <f>IFERROR(__xludf.DUMMYFUNCTION("""COMPUTED_VALUE"""),147.05)</f>
        <v>147.05</v>
      </c>
      <c r="E2188" s="1">
        <f>IFERROR(__xludf.DUMMYFUNCTION("""COMPUTED_VALUE"""),148.23)</f>
        <v>148.23</v>
      </c>
      <c r="F2188" s="1">
        <f>IFERROR(__xludf.DUMMYFUNCTION("""COMPUTED_VALUE"""),46669.0)</f>
        <v>46669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IFERROR(__xludf.DUMMYFUNCTION("""COMPUTED_VALUE"""),148.17)</f>
        <v>148.17</v>
      </c>
      <c r="C2189" s="1">
        <f>IFERROR(__xludf.DUMMYFUNCTION("""COMPUTED_VALUE"""),149.04)</f>
        <v>149.04</v>
      </c>
      <c r="D2189" s="1">
        <f>IFERROR(__xludf.DUMMYFUNCTION("""COMPUTED_VALUE"""),145.82)</f>
        <v>145.82</v>
      </c>
      <c r="E2189" s="1">
        <f>IFERROR(__xludf.DUMMYFUNCTION("""COMPUTED_VALUE"""),148.17)</f>
        <v>148.17</v>
      </c>
      <c r="F2189" s="1">
        <f>IFERROR(__xludf.DUMMYFUNCTION("""COMPUTED_VALUE"""),49720.0)</f>
        <v>49720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IFERROR(__xludf.DUMMYFUNCTION("""COMPUTED_VALUE"""),148.23)</f>
        <v>148.23</v>
      </c>
      <c r="C2190" s="1">
        <f>IFERROR(__xludf.DUMMYFUNCTION("""COMPUTED_VALUE"""),150.29)</f>
        <v>150.29</v>
      </c>
      <c r="D2190" s="1">
        <f>IFERROR(__xludf.DUMMYFUNCTION("""COMPUTED_VALUE"""),147.48)</f>
        <v>147.48</v>
      </c>
      <c r="E2190" s="1">
        <f>IFERROR(__xludf.DUMMYFUNCTION("""COMPUTED_VALUE"""),149.82)</f>
        <v>149.82</v>
      </c>
      <c r="F2190" s="1">
        <f>IFERROR(__xludf.DUMMYFUNCTION("""COMPUTED_VALUE"""),79729.0)</f>
        <v>79729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IFERROR(__xludf.DUMMYFUNCTION("""COMPUTED_VALUE"""),149.95)</f>
        <v>149.95</v>
      </c>
      <c r="C2191" s="1">
        <f>IFERROR(__xludf.DUMMYFUNCTION("""COMPUTED_VALUE"""),150.45)</f>
        <v>150.45</v>
      </c>
      <c r="D2191" s="1">
        <f>IFERROR(__xludf.DUMMYFUNCTION("""COMPUTED_VALUE"""),146.79)</f>
        <v>146.79</v>
      </c>
      <c r="E2191" s="1">
        <f>IFERROR(__xludf.DUMMYFUNCTION("""COMPUTED_VALUE"""),149.08)</f>
        <v>149.08</v>
      </c>
      <c r="F2191" s="1">
        <f>IFERROR(__xludf.DUMMYFUNCTION("""COMPUTED_VALUE"""),43648.0)</f>
        <v>43648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IFERROR(__xludf.DUMMYFUNCTION("""COMPUTED_VALUE"""),149.29)</f>
        <v>149.29</v>
      </c>
      <c r="C2192" s="1">
        <f>IFERROR(__xludf.DUMMYFUNCTION("""COMPUTED_VALUE"""),152.03)</f>
        <v>152.03</v>
      </c>
      <c r="D2192" s="1">
        <f>IFERROR(__xludf.DUMMYFUNCTION("""COMPUTED_VALUE"""),147.47)</f>
        <v>147.47</v>
      </c>
      <c r="E2192" s="1">
        <f>IFERROR(__xludf.DUMMYFUNCTION("""COMPUTED_VALUE"""),150.05)</f>
        <v>150.05</v>
      </c>
      <c r="F2192" s="1">
        <f>IFERROR(__xludf.DUMMYFUNCTION("""COMPUTED_VALUE"""),56327.0)</f>
        <v>56327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IFERROR(__xludf.DUMMYFUNCTION("""COMPUTED_VALUE"""),149.58)</f>
        <v>149.58</v>
      </c>
      <c r="C2193" s="1">
        <f>IFERROR(__xludf.DUMMYFUNCTION("""COMPUTED_VALUE"""),149.65)</f>
        <v>149.65</v>
      </c>
      <c r="D2193" s="1">
        <f>IFERROR(__xludf.DUMMYFUNCTION("""COMPUTED_VALUE"""),147.03)</f>
        <v>147.03</v>
      </c>
      <c r="E2193" s="1">
        <f>IFERROR(__xludf.DUMMYFUNCTION("""COMPUTED_VALUE"""),148.1)</f>
        <v>148.1</v>
      </c>
      <c r="F2193" s="1">
        <f>IFERROR(__xludf.DUMMYFUNCTION("""COMPUTED_VALUE"""),85254.0)</f>
        <v>85254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IFERROR(__xludf.DUMMYFUNCTION("""COMPUTED_VALUE"""),148.11)</f>
        <v>148.11</v>
      </c>
      <c r="C2194" s="1">
        <f>IFERROR(__xludf.DUMMYFUNCTION("""COMPUTED_VALUE"""),148.3)</f>
        <v>148.3</v>
      </c>
      <c r="D2194" s="1">
        <f>IFERROR(__xludf.DUMMYFUNCTION("""COMPUTED_VALUE"""),145.94)</f>
        <v>145.94</v>
      </c>
      <c r="E2194" s="1">
        <f>IFERROR(__xludf.DUMMYFUNCTION("""COMPUTED_VALUE"""),146.76)</f>
        <v>146.76</v>
      </c>
      <c r="F2194" s="1">
        <f>IFERROR(__xludf.DUMMYFUNCTION("""COMPUTED_VALUE"""),73762.0)</f>
        <v>73762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IFERROR(__xludf.DUMMYFUNCTION("""COMPUTED_VALUE"""),147.07)</f>
        <v>147.07</v>
      </c>
      <c r="C2195" s="1">
        <f>IFERROR(__xludf.DUMMYFUNCTION("""COMPUTED_VALUE"""),147.79)</f>
        <v>147.79</v>
      </c>
      <c r="D2195" s="1">
        <f>IFERROR(__xludf.DUMMYFUNCTION("""COMPUTED_VALUE"""),145.32)</f>
        <v>145.32</v>
      </c>
      <c r="E2195" s="1">
        <f>IFERROR(__xludf.DUMMYFUNCTION("""COMPUTED_VALUE"""),146.23)</f>
        <v>146.23</v>
      </c>
      <c r="F2195" s="1">
        <f>IFERROR(__xludf.DUMMYFUNCTION("""COMPUTED_VALUE"""),72279.0)</f>
        <v>72279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IFERROR(__xludf.DUMMYFUNCTION("""COMPUTED_VALUE"""),146.58)</f>
        <v>146.58</v>
      </c>
      <c r="C2196" s="1">
        <f>IFERROR(__xludf.DUMMYFUNCTION("""COMPUTED_VALUE"""),147.9)</f>
        <v>147.9</v>
      </c>
      <c r="D2196" s="1">
        <f>IFERROR(__xludf.DUMMYFUNCTION("""COMPUTED_VALUE"""),146.0)</f>
        <v>146</v>
      </c>
      <c r="E2196" s="1">
        <f>IFERROR(__xludf.DUMMYFUNCTION("""COMPUTED_VALUE"""),147.44)</f>
        <v>147.44</v>
      </c>
      <c r="F2196" s="1">
        <f>IFERROR(__xludf.DUMMYFUNCTION("""COMPUTED_VALUE"""),39089.0)</f>
        <v>39089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IFERROR(__xludf.DUMMYFUNCTION("""COMPUTED_VALUE"""),147.85)</f>
        <v>147.85</v>
      </c>
      <c r="C2197" s="1">
        <f>IFERROR(__xludf.DUMMYFUNCTION("""COMPUTED_VALUE"""),148.64)</f>
        <v>148.64</v>
      </c>
      <c r="D2197" s="1">
        <f>IFERROR(__xludf.DUMMYFUNCTION("""COMPUTED_VALUE"""),146.25)</f>
        <v>146.25</v>
      </c>
      <c r="E2197" s="1">
        <f>IFERROR(__xludf.DUMMYFUNCTION("""COMPUTED_VALUE"""),147.78)</f>
        <v>147.78</v>
      </c>
      <c r="F2197" s="1">
        <f>IFERROR(__xludf.DUMMYFUNCTION("""COMPUTED_VALUE"""),171594.0)</f>
        <v>171594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IFERROR(__xludf.DUMMYFUNCTION("""COMPUTED_VALUE"""),147.79)</f>
        <v>147.79</v>
      </c>
      <c r="C2198" s="1">
        <f>IFERROR(__xludf.DUMMYFUNCTION("""COMPUTED_VALUE"""),148.19)</f>
        <v>148.19</v>
      </c>
      <c r="D2198" s="1">
        <f>IFERROR(__xludf.DUMMYFUNCTION("""COMPUTED_VALUE"""),146.0)</f>
        <v>146</v>
      </c>
      <c r="E2198" s="1">
        <f>IFERROR(__xludf.DUMMYFUNCTION("""COMPUTED_VALUE"""),146.59)</f>
        <v>146.59</v>
      </c>
      <c r="F2198" s="1">
        <f>IFERROR(__xludf.DUMMYFUNCTION("""COMPUTED_VALUE"""),63516.0)</f>
        <v>63516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IFERROR(__xludf.DUMMYFUNCTION("""COMPUTED_VALUE"""),146.34)</f>
        <v>146.34</v>
      </c>
      <c r="C2199" s="1">
        <f>IFERROR(__xludf.DUMMYFUNCTION("""COMPUTED_VALUE"""),148.5)</f>
        <v>148.5</v>
      </c>
      <c r="D2199" s="1">
        <f>IFERROR(__xludf.DUMMYFUNCTION("""COMPUTED_VALUE"""),145.32)</f>
        <v>145.32</v>
      </c>
      <c r="E2199" s="1">
        <f>IFERROR(__xludf.DUMMYFUNCTION("""COMPUTED_VALUE"""),147.53)</f>
        <v>147.53</v>
      </c>
      <c r="F2199" s="1">
        <f>IFERROR(__xludf.DUMMYFUNCTION("""COMPUTED_VALUE"""),66435.0)</f>
        <v>66435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IFERROR(__xludf.DUMMYFUNCTION("""COMPUTED_VALUE"""),147.85)</f>
        <v>147.85</v>
      </c>
      <c r="C2200" s="1">
        <f>IFERROR(__xludf.DUMMYFUNCTION("""COMPUTED_VALUE"""),150.29)</f>
        <v>150.29</v>
      </c>
      <c r="D2200" s="1">
        <f>IFERROR(__xludf.DUMMYFUNCTION("""COMPUTED_VALUE"""),146.97)</f>
        <v>146.97</v>
      </c>
      <c r="E2200" s="1">
        <f>IFERROR(__xludf.DUMMYFUNCTION("""COMPUTED_VALUE"""),148.37)</f>
        <v>148.37</v>
      </c>
      <c r="F2200" s="1">
        <f>IFERROR(__xludf.DUMMYFUNCTION("""COMPUTED_VALUE"""),62621.0)</f>
        <v>62621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IFERROR(__xludf.DUMMYFUNCTION("""COMPUTED_VALUE"""),147.97)</f>
        <v>147.97</v>
      </c>
      <c r="C2201" s="1">
        <f>IFERROR(__xludf.DUMMYFUNCTION("""COMPUTED_VALUE"""),149.84)</f>
        <v>149.84</v>
      </c>
      <c r="D2201" s="1">
        <f>IFERROR(__xludf.DUMMYFUNCTION("""COMPUTED_VALUE"""),147.64)</f>
        <v>147.64</v>
      </c>
      <c r="E2201" s="1">
        <f>IFERROR(__xludf.DUMMYFUNCTION("""COMPUTED_VALUE"""),148.99)</f>
        <v>148.99</v>
      </c>
      <c r="F2201" s="1">
        <f>IFERROR(__xludf.DUMMYFUNCTION("""COMPUTED_VALUE"""),65656.0)</f>
        <v>65656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IFERROR(__xludf.DUMMYFUNCTION("""COMPUTED_VALUE"""),149.14)</f>
        <v>149.14</v>
      </c>
      <c r="C2202" s="1">
        <f>IFERROR(__xludf.DUMMYFUNCTION("""COMPUTED_VALUE"""),152.53)</f>
        <v>152.53</v>
      </c>
      <c r="D2202" s="1">
        <f>IFERROR(__xludf.DUMMYFUNCTION("""COMPUTED_VALUE"""),147.85)</f>
        <v>147.85</v>
      </c>
      <c r="E2202" s="1">
        <f>IFERROR(__xludf.DUMMYFUNCTION("""COMPUTED_VALUE"""),150.89)</f>
        <v>150.89</v>
      </c>
      <c r="F2202" s="1">
        <f>IFERROR(__xludf.DUMMYFUNCTION("""COMPUTED_VALUE"""),151662.0)</f>
        <v>151662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IFERROR(__xludf.DUMMYFUNCTION("""COMPUTED_VALUE"""),151.0)</f>
        <v>151</v>
      </c>
      <c r="C2203" s="1">
        <f>IFERROR(__xludf.DUMMYFUNCTION("""COMPUTED_VALUE"""),151.78)</f>
        <v>151.78</v>
      </c>
      <c r="D2203" s="1">
        <f>IFERROR(__xludf.DUMMYFUNCTION("""COMPUTED_VALUE"""),148.2)</f>
        <v>148.2</v>
      </c>
      <c r="E2203" s="1">
        <f>IFERROR(__xludf.DUMMYFUNCTION("""COMPUTED_VALUE"""),149.25)</f>
        <v>149.25</v>
      </c>
      <c r="F2203" s="1">
        <f>IFERROR(__xludf.DUMMYFUNCTION("""COMPUTED_VALUE"""),60354.0)</f>
        <v>60354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IFERROR(__xludf.DUMMYFUNCTION("""COMPUTED_VALUE"""),149.35)</f>
        <v>149.35</v>
      </c>
      <c r="C2204" s="1">
        <f>IFERROR(__xludf.DUMMYFUNCTION("""COMPUTED_VALUE"""),150.97)</f>
        <v>150.97</v>
      </c>
      <c r="D2204" s="1">
        <f>IFERROR(__xludf.DUMMYFUNCTION("""COMPUTED_VALUE"""),147.38)</f>
        <v>147.38</v>
      </c>
      <c r="E2204" s="1">
        <f>IFERROR(__xludf.DUMMYFUNCTION("""COMPUTED_VALUE"""),148.08)</f>
        <v>148.08</v>
      </c>
      <c r="F2204" s="1">
        <f>IFERROR(__xludf.DUMMYFUNCTION("""COMPUTED_VALUE"""),54886.0)</f>
        <v>54886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IFERROR(__xludf.DUMMYFUNCTION("""COMPUTED_VALUE"""),148.37)</f>
        <v>148.37</v>
      </c>
      <c r="C2205" s="1">
        <f>IFERROR(__xludf.DUMMYFUNCTION("""COMPUTED_VALUE"""),148.5)</f>
        <v>148.5</v>
      </c>
      <c r="D2205" s="1">
        <f>IFERROR(__xludf.DUMMYFUNCTION("""COMPUTED_VALUE"""),146.12)</f>
        <v>146.12</v>
      </c>
      <c r="E2205" s="1">
        <f>IFERROR(__xludf.DUMMYFUNCTION("""COMPUTED_VALUE"""),146.65)</f>
        <v>146.65</v>
      </c>
      <c r="F2205" s="1">
        <f>IFERROR(__xludf.DUMMYFUNCTION("""COMPUTED_VALUE"""),43653.0)</f>
        <v>43653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IFERROR(__xludf.DUMMYFUNCTION("""COMPUTED_VALUE"""),146.46)</f>
        <v>146.46</v>
      </c>
      <c r="C2206" s="1">
        <f>IFERROR(__xludf.DUMMYFUNCTION("""COMPUTED_VALUE"""),147.3)</f>
        <v>147.3</v>
      </c>
      <c r="D2206" s="1">
        <f>IFERROR(__xludf.DUMMYFUNCTION("""COMPUTED_VALUE"""),143.29)</f>
        <v>143.29</v>
      </c>
      <c r="E2206" s="1">
        <f>IFERROR(__xludf.DUMMYFUNCTION("""COMPUTED_VALUE"""),146.55)</f>
        <v>146.55</v>
      </c>
      <c r="F2206" s="1">
        <f>IFERROR(__xludf.DUMMYFUNCTION("""COMPUTED_VALUE"""),59539.0)</f>
        <v>59539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IFERROR(__xludf.DUMMYFUNCTION("""COMPUTED_VALUE"""),146.5)</f>
        <v>146.5</v>
      </c>
      <c r="C2207" s="1">
        <f>IFERROR(__xludf.DUMMYFUNCTION("""COMPUTED_VALUE"""),148.37)</f>
        <v>148.37</v>
      </c>
      <c r="D2207" s="1">
        <f>IFERROR(__xludf.DUMMYFUNCTION("""COMPUTED_VALUE"""),145.82)</f>
        <v>145.82</v>
      </c>
      <c r="E2207" s="1">
        <f>IFERROR(__xludf.DUMMYFUNCTION("""COMPUTED_VALUE"""),146.79)</f>
        <v>146.79</v>
      </c>
      <c r="F2207" s="1">
        <f>IFERROR(__xludf.DUMMYFUNCTION("""COMPUTED_VALUE"""),48682.0)</f>
        <v>48682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IFERROR(__xludf.DUMMYFUNCTION("""COMPUTED_VALUE"""),146.59)</f>
        <v>146.59</v>
      </c>
      <c r="C2208" s="1">
        <f>IFERROR(__xludf.DUMMYFUNCTION("""COMPUTED_VALUE"""),149.39)</f>
        <v>149.39</v>
      </c>
      <c r="D2208" s="1">
        <f>IFERROR(__xludf.DUMMYFUNCTION("""COMPUTED_VALUE"""),145.7)</f>
        <v>145.7</v>
      </c>
      <c r="E2208" s="1">
        <f>IFERROR(__xludf.DUMMYFUNCTION("""COMPUTED_VALUE"""),148.98)</f>
        <v>148.98</v>
      </c>
      <c r="F2208" s="1">
        <f>IFERROR(__xludf.DUMMYFUNCTION("""COMPUTED_VALUE"""),43364.0)</f>
        <v>43364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IFERROR(__xludf.DUMMYFUNCTION("""COMPUTED_VALUE"""),148.63)</f>
        <v>148.63</v>
      </c>
      <c r="C2209" s="1">
        <f>IFERROR(__xludf.DUMMYFUNCTION("""COMPUTED_VALUE"""),149.5)</f>
        <v>149.5</v>
      </c>
      <c r="D2209" s="1">
        <f>IFERROR(__xludf.DUMMYFUNCTION("""COMPUTED_VALUE"""),147.68)</f>
        <v>147.68</v>
      </c>
      <c r="E2209" s="1">
        <f>IFERROR(__xludf.DUMMYFUNCTION("""COMPUTED_VALUE"""),147.95)</f>
        <v>147.95</v>
      </c>
      <c r="F2209" s="1">
        <f>IFERROR(__xludf.DUMMYFUNCTION("""COMPUTED_VALUE"""),59722.0)</f>
        <v>59722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IFERROR(__xludf.DUMMYFUNCTION("""COMPUTED_VALUE"""),148.0)</f>
        <v>148</v>
      </c>
      <c r="C2210" s="1">
        <f>IFERROR(__xludf.DUMMYFUNCTION("""COMPUTED_VALUE"""),149.56)</f>
        <v>149.56</v>
      </c>
      <c r="D2210" s="1">
        <f>IFERROR(__xludf.DUMMYFUNCTION("""COMPUTED_VALUE"""),147.04)</f>
        <v>147.04</v>
      </c>
      <c r="E2210" s="1">
        <f>IFERROR(__xludf.DUMMYFUNCTION("""COMPUTED_VALUE"""),147.63)</f>
        <v>147.63</v>
      </c>
      <c r="F2210" s="1">
        <f>IFERROR(__xludf.DUMMYFUNCTION("""COMPUTED_VALUE"""),60113.0)</f>
        <v>60113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IFERROR(__xludf.DUMMYFUNCTION("""COMPUTED_VALUE"""),147.6)</f>
        <v>147.6</v>
      </c>
      <c r="C2211" s="1">
        <f>IFERROR(__xludf.DUMMYFUNCTION("""COMPUTED_VALUE"""),147.6)</f>
        <v>147.6</v>
      </c>
      <c r="D2211" s="1">
        <f>IFERROR(__xludf.DUMMYFUNCTION("""COMPUTED_VALUE"""),144.46)</f>
        <v>144.46</v>
      </c>
      <c r="E2211" s="1">
        <f>IFERROR(__xludf.DUMMYFUNCTION("""COMPUTED_VALUE"""),144.83)</f>
        <v>144.83</v>
      </c>
      <c r="F2211" s="1">
        <f>IFERROR(__xludf.DUMMYFUNCTION("""COMPUTED_VALUE"""),78524.0)</f>
        <v>78524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IFERROR(__xludf.DUMMYFUNCTION("""COMPUTED_VALUE"""),146.05)</f>
        <v>146.05</v>
      </c>
      <c r="C2212" s="1">
        <f>IFERROR(__xludf.DUMMYFUNCTION("""COMPUTED_VALUE"""),146.05)</f>
        <v>146.05</v>
      </c>
      <c r="D2212" s="1">
        <f>IFERROR(__xludf.DUMMYFUNCTION("""COMPUTED_VALUE"""),144.07)</f>
        <v>144.07</v>
      </c>
      <c r="E2212" s="1">
        <f>IFERROR(__xludf.DUMMYFUNCTION("""COMPUTED_VALUE"""),145.42)</f>
        <v>145.42</v>
      </c>
      <c r="F2212" s="1">
        <f>IFERROR(__xludf.DUMMYFUNCTION("""COMPUTED_VALUE"""),60156.0)</f>
        <v>60156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IFERROR(__xludf.DUMMYFUNCTION("""COMPUTED_VALUE"""),145.43)</f>
        <v>145.43</v>
      </c>
      <c r="C2213" s="1">
        <f>IFERROR(__xludf.DUMMYFUNCTION("""COMPUTED_VALUE"""),147.19)</f>
        <v>147.19</v>
      </c>
      <c r="D2213" s="1">
        <f>IFERROR(__xludf.DUMMYFUNCTION("""COMPUTED_VALUE"""),144.93)</f>
        <v>144.93</v>
      </c>
      <c r="E2213" s="1">
        <f>IFERROR(__xludf.DUMMYFUNCTION("""COMPUTED_VALUE"""),146.4)</f>
        <v>146.4</v>
      </c>
      <c r="F2213" s="1">
        <f>IFERROR(__xludf.DUMMYFUNCTION("""COMPUTED_VALUE"""),53714.0)</f>
        <v>53714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IFERROR(__xludf.DUMMYFUNCTION("""COMPUTED_VALUE"""),146.81)</f>
        <v>146.81</v>
      </c>
      <c r="C2214" s="1">
        <f>IFERROR(__xludf.DUMMYFUNCTION("""COMPUTED_VALUE"""),150.1)</f>
        <v>150.1</v>
      </c>
      <c r="D2214" s="1">
        <f>IFERROR(__xludf.DUMMYFUNCTION("""COMPUTED_VALUE"""),146.2)</f>
        <v>146.2</v>
      </c>
      <c r="E2214" s="1">
        <f>IFERROR(__xludf.DUMMYFUNCTION("""COMPUTED_VALUE"""),150.02)</f>
        <v>150.02</v>
      </c>
      <c r="F2214" s="1">
        <f>IFERROR(__xludf.DUMMYFUNCTION("""COMPUTED_VALUE"""),85626.0)</f>
        <v>85626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IFERROR(__xludf.DUMMYFUNCTION("""COMPUTED_VALUE"""),149.7)</f>
        <v>149.7</v>
      </c>
      <c r="C2215" s="1">
        <f>IFERROR(__xludf.DUMMYFUNCTION("""COMPUTED_VALUE"""),150.24)</f>
        <v>150.24</v>
      </c>
      <c r="D2215" s="1">
        <f>IFERROR(__xludf.DUMMYFUNCTION("""COMPUTED_VALUE"""),148.21)</f>
        <v>148.21</v>
      </c>
      <c r="E2215" s="1">
        <f>IFERROR(__xludf.DUMMYFUNCTION("""COMPUTED_VALUE"""),149.71)</f>
        <v>149.71</v>
      </c>
      <c r="F2215" s="1">
        <f>IFERROR(__xludf.DUMMYFUNCTION("""COMPUTED_VALUE"""),33444.0)</f>
        <v>33444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IFERROR(__xludf.DUMMYFUNCTION("""COMPUTED_VALUE"""),149.7)</f>
        <v>149.7</v>
      </c>
      <c r="C2216" s="1">
        <f>IFERROR(__xludf.DUMMYFUNCTION("""COMPUTED_VALUE"""),152.06)</f>
        <v>152.06</v>
      </c>
      <c r="D2216" s="1">
        <f>IFERROR(__xludf.DUMMYFUNCTION("""COMPUTED_VALUE"""),149.24)</f>
        <v>149.24</v>
      </c>
      <c r="E2216" s="1">
        <f>IFERROR(__xludf.DUMMYFUNCTION("""COMPUTED_VALUE"""),150.7)</f>
        <v>150.7</v>
      </c>
      <c r="F2216" s="1">
        <f>IFERROR(__xludf.DUMMYFUNCTION("""COMPUTED_VALUE"""),44466.0)</f>
        <v>44466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IFERROR(__xludf.DUMMYFUNCTION("""COMPUTED_VALUE"""),150.4)</f>
        <v>150.4</v>
      </c>
      <c r="C2217" s="1">
        <f>IFERROR(__xludf.DUMMYFUNCTION("""COMPUTED_VALUE"""),154.02)</f>
        <v>154.02</v>
      </c>
      <c r="D2217" s="1">
        <f>IFERROR(__xludf.DUMMYFUNCTION("""COMPUTED_VALUE"""),150.4)</f>
        <v>150.4</v>
      </c>
      <c r="E2217" s="1">
        <f>IFERROR(__xludf.DUMMYFUNCTION("""COMPUTED_VALUE"""),153.8)</f>
        <v>153.8</v>
      </c>
      <c r="F2217" s="1">
        <f>IFERROR(__xludf.DUMMYFUNCTION("""COMPUTED_VALUE"""),51421.0)</f>
        <v>51421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IFERROR(__xludf.DUMMYFUNCTION("""COMPUTED_VALUE"""),153.8)</f>
        <v>153.8</v>
      </c>
      <c r="C2218" s="1">
        <f>IFERROR(__xludf.DUMMYFUNCTION("""COMPUTED_VALUE"""),156.44)</f>
        <v>156.44</v>
      </c>
      <c r="D2218" s="1">
        <f>IFERROR(__xludf.DUMMYFUNCTION("""COMPUTED_VALUE"""),152.55)</f>
        <v>152.55</v>
      </c>
      <c r="E2218" s="1">
        <f>IFERROR(__xludf.DUMMYFUNCTION("""COMPUTED_VALUE"""),156.27)</f>
        <v>156.27</v>
      </c>
      <c r="F2218" s="1">
        <f>IFERROR(__xludf.DUMMYFUNCTION("""COMPUTED_VALUE"""),82010.0)</f>
        <v>82010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IFERROR(__xludf.DUMMYFUNCTION("""COMPUTED_VALUE"""),154.79)</f>
        <v>154.79</v>
      </c>
      <c r="C2219" s="1">
        <f>IFERROR(__xludf.DUMMYFUNCTION("""COMPUTED_VALUE"""),157.43)</f>
        <v>157.43</v>
      </c>
      <c r="D2219" s="1">
        <f>IFERROR(__xludf.DUMMYFUNCTION("""COMPUTED_VALUE"""),152.82)</f>
        <v>152.82</v>
      </c>
      <c r="E2219" s="1">
        <f>IFERROR(__xludf.DUMMYFUNCTION("""COMPUTED_VALUE"""),155.47)</f>
        <v>155.47</v>
      </c>
      <c r="F2219" s="1">
        <f>IFERROR(__xludf.DUMMYFUNCTION("""COMPUTED_VALUE"""),41643.0)</f>
        <v>41643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IFERROR(__xludf.DUMMYFUNCTION("""COMPUTED_VALUE"""),155.59)</f>
        <v>155.59</v>
      </c>
      <c r="C2220" s="1">
        <f>IFERROR(__xludf.DUMMYFUNCTION("""COMPUTED_VALUE"""),161.82)</f>
        <v>161.82</v>
      </c>
      <c r="D2220" s="1">
        <f>IFERROR(__xludf.DUMMYFUNCTION("""COMPUTED_VALUE"""),154.87)</f>
        <v>154.87</v>
      </c>
      <c r="E2220" s="1">
        <f>IFERROR(__xludf.DUMMYFUNCTION("""COMPUTED_VALUE"""),156.52)</f>
        <v>156.52</v>
      </c>
      <c r="F2220" s="1">
        <f>IFERROR(__xludf.DUMMYFUNCTION("""COMPUTED_VALUE"""),81851.0)</f>
        <v>81851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IFERROR(__xludf.DUMMYFUNCTION("""COMPUTED_VALUE"""),156.92)</f>
        <v>156.92</v>
      </c>
      <c r="C2221" s="1">
        <f>IFERROR(__xludf.DUMMYFUNCTION("""COMPUTED_VALUE"""),159.18)</f>
        <v>159.18</v>
      </c>
      <c r="D2221" s="1">
        <f>IFERROR(__xludf.DUMMYFUNCTION("""COMPUTED_VALUE"""),155.52)</f>
        <v>155.52</v>
      </c>
      <c r="E2221" s="1">
        <f>IFERROR(__xludf.DUMMYFUNCTION("""COMPUTED_VALUE"""),155.95)</f>
        <v>155.95</v>
      </c>
      <c r="F2221" s="1">
        <f>IFERROR(__xludf.DUMMYFUNCTION("""COMPUTED_VALUE"""),61113.0)</f>
        <v>61113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IFERROR(__xludf.DUMMYFUNCTION("""COMPUTED_VALUE"""),154.89)</f>
        <v>154.89</v>
      </c>
      <c r="C2222" s="1">
        <f>IFERROR(__xludf.DUMMYFUNCTION("""COMPUTED_VALUE"""),155.69)</f>
        <v>155.69</v>
      </c>
      <c r="D2222" s="1">
        <f>IFERROR(__xludf.DUMMYFUNCTION("""COMPUTED_VALUE"""),152.55)</f>
        <v>152.55</v>
      </c>
      <c r="E2222" s="1">
        <f>IFERROR(__xludf.DUMMYFUNCTION("""COMPUTED_VALUE"""),154.51)</f>
        <v>154.51</v>
      </c>
      <c r="F2222" s="1">
        <f>IFERROR(__xludf.DUMMYFUNCTION("""COMPUTED_VALUE"""),51221.0)</f>
        <v>51221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IFERROR(__xludf.DUMMYFUNCTION("""COMPUTED_VALUE"""),155.39)</f>
        <v>155.39</v>
      </c>
      <c r="C2223" s="1">
        <f>IFERROR(__xludf.DUMMYFUNCTION("""COMPUTED_VALUE"""),158.26)</f>
        <v>158.26</v>
      </c>
      <c r="D2223" s="1">
        <f>IFERROR(__xludf.DUMMYFUNCTION("""COMPUTED_VALUE"""),155.35)</f>
        <v>155.35</v>
      </c>
      <c r="E2223" s="1">
        <f>IFERROR(__xludf.DUMMYFUNCTION("""COMPUTED_VALUE"""),157.39)</f>
        <v>157.39</v>
      </c>
      <c r="F2223" s="1">
        <f>IFERROR(__xludf.DUMMYFUNCTION("""COMPUTED_VALUE"""),46862.0)</f>
        <v>46862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IFERROR(__xludf.DUMMYFUNCTION("""COMPUTED_VALUE"""),157.15)</f>
        <v>157.15</v>
      </c>
      <c r="C2224" s="1">
        <f>IFERROR(__xludf.DUMMYFUNCTION("""COMPUTED_VALUE"""),160.38)</f>
        <v>160.38</v>
      </c>
      <c r="D2224" s="1">
        <f>IFERROR(__xludf.DUMMYFUNCTION("""COMPUTED_VALUE"""),154.4)</f>
        <v>154.4</v>
      </c>
      <c r="E2224" s="1">
        <f>IFERROR(__xludf.DUMMYFUNCTION("""COMPUTED_VALUE"""),158.25)</f>
        <v>158.25</v>
      </c>
      <c r="F2224" s="1">
        <f>IFERROR(__xludf.DUMMYFUNCTION("""COMPUTED_VALUE"""),76140.0)</f>
        <v>76140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IFERROR(__xludf.DUMMYFUNCTION("""COMPUTED_VALUE"""),158.89)</f>
        <v>158.89</v>
      </c>
      <c r="C2225" s="1">
        <f>IFERROR(__xludf.DUMMYFUNCTION("""COMPUTED_VALUE"""),158.95)</f>
        <v>158.95</v>
      </c>
      <c r="D2225" s="1">
        <f>IFERROR(__xludf.DUMMYFUNCTION("""COMPUTED_VALUE"""),155.7)</f>
        <v>155.7</v>
      </c>
      <c r="E2225" s="1">
        <f>IFERROR(__xludf.DUMMYFUNCTION("""COMPUTED_VALUE"""),156.16)</f>
        <v>156.16</v>
      </c>
      <c r="F2225" s="1">
        <f>IFERROR(__xludf.DUMMYFUNCTION("""COMPUTED_VALUE"""),84272.0)</f>
        <v>84272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IFERROR(__xludf.DUMMYFUNCTION("""COMPUTED_VALUE"""),156.86)</f>
        <v>156.86</v>
      </c>
      <c r="C2226" s="1">
        <f>IFERROR(__xludf.DUMMYFUNCTION("""COMPUTED_VALUE"""),157.4)</f>
        <v>157.4</v>
      </c>
      <c r="D2226" s="1">
        <f>IFERROR(__xludf.DUMMYFUNCTION("""COMPUTED_VALUE"""),154.65)</f>
        <v>154.65</v>
      </c>
      <c r="E2226" s="1">
        <f>IFERROR(__xludf.DUMMYFUNCTION("""COMPUTED_VALUE"""),155.44)</f>
        <v>155.44</v>
      </c>
      <c r="F2226" s="1">
        <f>IFERROR(__xludf.DUMMYFUNCTION("""COMPUTED_VALUE"""),81003.0)</f>
        <v>81003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IFERROR(__xludf.DUMMYFUNCTION("""COMPUTED_VALUE"""),155.81)</f>
        <v>155.81</v>
      </c>
      <c r="C2227" s="1">
        <f>IFERROR(__xludf.DUMMYFUNCTION("""COMPUTED_VALUE"""),156.04)</f>
        <v>156.04</v>
      </c>
      <c r="D2227" s="1">
        <f>IFERROR(__xludf.DUMMYFUNCTION("""COMPUTED_VALUE"""),153.91)</f>
        <v>153.91</v>
      </c>
      <c r="E2227" s="1">
        <f>IFERROR(__xludf.DUMMYFUNCTION("""COMPUTED_VALUE"""),155.64)</f>
        <v>155.64</v>
      </c>
      <c r="F2227" s="1">
        <f>IFERROR(__xludf.DUMMYFUNCTION("""COMPUTED_VALUE"""),59904.0)</f>
        <v>59904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IFERROR(__xludf.DUMMYFUNCTION("""COMPUTED_VALUE"""),155.64)</f>
        <v>155.64</v>
      </c>
      <c r="C2228" s="1">
        <f>IFERROR(__xludf.DUMMYFUNCTION("""COMPUTED_VALUE"""),158.74)</f>
        <v>158.74</v>
      </c>
      <c r="D2228" s="1">
        <f>IFERROR(__xludf.DUMMYFUNCTION("""COMPUTED_VALUE"""),155.0)</f>
        <v>155</v>
      </c>
      <c r="E2228" s="1">
        <f>IFERROR(__xludf.DUMMYFUNCTION("""COMPUTED_VALUE"""),158.26)</f>
        <v>158.26</v>
      </c>
      <c r="F2228" s="1">
        <f>IFERROR(__xludf.DUMMYFUNCTION("""COMPUTED_VALUE"""),73141.0)</f>
        <v>73141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IFERROR(__xludf.DUMMYFUNCTION("""COMPUTED_VALUE"""),158.46)</f>
        <v>158.46</v>
      </c>
      <c r="C2229" s="1">
        <f>IFERROR(__xludf.DUMMYFUNCTION("""COMPUTED_VALUE"""),161.98)</f>
        <v>161.98</v>
      </c>
      <c r="D2229" s="1">
        <f>IFERROR(__xludf.DUMMYFUNCTION("""COMPUTED_VALUE"""),155.4)</f>
        <v>155.4</v>
      </c>
      <c r="E2229" s="1">
        <f>IFERROR(__xludf.DUMMYFUNCTION("""COMPUTED_VALUE"""),160.22)</f>
        <v>160.22</v>
      </c>
      <c r="F2229" s="1">
        <f>IFERROR(__xludf.DUMMYFUNCTION("""COMPUTED_VALUE"""),69783.0)</f>
        <v>69783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IFERROR(__xludf.DUMMYFUNCTION("""COMPUTED_VALUE"""),160.8)</f>
        <v>160.8</v>
      </c>
      <c r="C2230" s="1">
        <f>IFERROR(__xludf.DUMMYFUNCTION("""COMPUTED_VALUE"""),162.8)</f>
        <v>162.8</v>
      </c>
      <c r="D2230" s="1">
        <f>IFERROR(__xludf.DUMMYFUNCTION("""COMPUTED_VALUE"""),156.82)</f>
        <v>156.82</v>
      </c>
      <c r="E2230" s="1">
        <f>IFERROR(__xludf.DUMMYFUNCTION("""COMPUTED_VALUE"""),157.0)</f>
        <v>157</v>
      </c>
      <c r="F2230" s="1">
        <f>IFERROR(__xludf.DUMMYFUNCTION("""COMPUTED_VALUE"""),174490.0)</f>
        <v>174490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IFERROR(__xludf.DUMMYFUNCTION("""COMPUTED_VALUE"""),157.19)</f>
        <v>157.19</v>
      </c>
      <c r="C2231" s="1">
        <f>IFERROR(__xludf.DUMMYFUNCTION("""COMPUTED_VALUE"""),158.58)</f>
        <v>158.58</v>
      </c>
      <c r="D2231" s="1">
        <f>IFERROR(__xludf.DUMMYFUNCTION("""COMPUTED_VALUE"""),155.07)</f>
        <v>155.07</v>
      </c>
      <c r="E2231" s="1">
        <f>IFERROR(__xludf.DUMMYFUNCTION("""COMPUTED_VALUE"""),156.5)</f>
        <v>156.5</v>
      </c>
      <c r="F2231" s="1">
        <f>IFERROR(__xludf.DUMMYFUNCTION("""COMPUTED_VALUE"""),68084.0)</f>
        <v>68084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IFERROR(__xludf.DUMMYFUNCTION("""COMPUTED_VALUE"""),151.49)</f>
        <v>151.49</v>
      </c>
      <c r="C2232" s="1">
        <f>IFERROR(__xludf.DUMMYFUNCTION("""COMPUTED_VALUE"""),157.75)</f>
        <v>157.75</v>
      </c>
      <c r="D2232" s="1">
        <f>IFERROR(__xludf.DUMMYFUNCTION("""COMPUTED_VALUE"""),148.73)</f>
        <v>148.73</v>
      </c>
      <c r="E2232" s="1">
        <f>IFERROR(__xludf.DUMMYFUNCTION("""COMPUTED_VALUE"""),154.92)</f>
        <v>154.92</v>
      </c>
      <c r="F2232" s="1">
        <f>IFERROR(__xludf.DUMMYFUNCTION("""COMPUTED_VALUE"""),123168.0)</f>
        <v>123168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IFERROR(__xludf.DUMMYFUNCTION("""COMPUTED_VALUE"""),153.72)</f>
        <v>153.72</v>
      </c>
      <c r="C2233" s="1">
        <f>IFERROR(__xludf.DUMMYFUNCTION("""COMPUTED_VALUE"""),157.66)</f>
        <v>157.66</v>
      </c>
      <c r="D2233" s="1">
        <f>IFERROR(__xludf.DUMMYFUNCTION("""COMPUTED_VALUE"""),153.4)</f>
        <v>153.4</v>
      </c>
      <c r="E2233" s="1">
        <f>IFERROR(__xludf.DUMMYFUNCTION("""COMPUTED_VALUE"""),153.42)</f>
        <v>153.42</v>
      </c>
      <c r="F2233" s="1">
        <f>IFERROR(__xludf.DUMMYFUNCTION("""COMPUTED_VALUE"""),59187.0)</f>
        <v>59187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IFERROR(__xludf.DUMMYFUNCTION("""COMPUTED_VALUE"""),153.38)</f>
        <v>153.38</v>
      </c>
      <c r="C2234" s="1">
        <f>IFERROR(__xludf.DUMMYFUNCTION("""COMPUTED_VALUE"""),154.42)</f>
        <v>154.42</v>
      </c>
      <c r="D2234" s="1">
        <f>IFERROR(__xludf.DUMMYFUNCTION("""COMPUTED_VALUE"""),152.16)</f>
        <v>152.16</v>
      </c>
      <c r="E2234" s="1">
        <f>IFERROR(__xludf.DUMMYFUNCTION("""COMPUTED_VALUE"""),152.85)</f>
        <v>152.85</v>
      </c>
      <c r="F2234" s="1">
        <f>IFERROR(__xludf.DUMMYFUNCTION("""COMPUTED_VALUE"""),51746.0)</f>
        <v>51746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IFERROR(__xludf.DUMMYFUNCTION("""COMPUTED_VALUE"""),153.24)</f>
        <v>153.24</v>
      </c>
      <c r="C2235" s="1">
        <f>IFERROR(__xludf.DUMMYFUNCTION("""COMPUTED_VALUE"""),153.5)</f>
        <v>153.5</v>
      </c>
      <c r="D2235" s="1">
        <f>IFERROR(__xludf.DUMMYFUNCTION("""COMPUTED_VALUE"""),150.04)</f>
        <v>150.04</v>
      </c>
      <c r="E2235" s="1">
        <f>IFERROR(__xludf.DUMMYFUNCTION("""COMPUTED_VALUE"""),151.97)</f>
        <v>151.97</v>
      </c>
      <c r="F2235" s="1">
        <f>IFERROR(__xludf.DUMMYFUNCTION("""COMPUTED_VALUE"""),41968.0)</f>
        <v>41968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IFERROR(__xludf.DUMMYFUNCTION("""COMPUTED_VALUE"""),151.21)</f>
        <v>151.21</v>
      </c>
      <c r="C2236" s="1">
        <f>IFERROR(__xludf.DUMMYFUNCTION("""COMPUTED_VALUE"""),155.65)</f>
        <v>155.65</v>
      </c>
      <c r="D2236" s="1">
        <f>IFERROR(__xludf.DUMMYFUNCTION("""COMPUTED_VALUE"""),150.95)</f>
        <v>150.95</v>
      </c>
      <c r="E2236" s="1">
        <f>IFERROR(__xludf.DUMMYFUNCTION("""COMPUTED_VALUE"""),155.34)</f>
        <v>155.34</v>
      </c>
      <c r="F2236" s="1">
        <f>IFERROR(__xludf.DUMMYFUNCTION("""COMPUTED_VALUE"""),81261.0)</f>
        <v>81261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IFERROR(__xludf.DUMMYFUNCTION("""COMPUTED_VALUE"""),154.45)</f>
        <v>154.45</v>
      </c>
      <c r="C2237" s="1">
        <f>IFERROR(__xludf.DUMMYFUNCTION("""COMPUTED_VALUE"""),156.6)</f>
        <v>156.6</v>
      </c>
      <c r="D2237" s="1">
        <f>IFERROR(__xludf.DUMMYFUNCTION("""COMPUTED_VALUE"""),153.07)</f>
        <v>153.07</v>
      </c>
      <c r="E2237" s="1">
        <f>IFERROR(__xludf.DUMMYFUNCTION("""COMPUTED_VALUE"""),155.83)</f>
        <v>155.83</v>
      </c>
      <c r="F2237" s="1">
        <f>IFERROR(__xludf.DUMMYFUNCTION("""COMPUTED_VALUE"""),102971.0)</f>
        <v>102971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IFERROR(__xludf.DUMMYFUNCTION("""COMPUTED_VALUE"""),156.21)</f>
        <v>156.21</v>
      </c>
      <c r="C2238" s="1">
        <f>IFERROR(__xludf.DUMMYFUNCTION("""COMPUTED_VALUE"""),156.21)</f>
        <v>156.21</v>
      </c>
      <c r="D2238" s="1">
        <f>IFERROR(__xludf.DUMMYFUNCTION("""COMPUTED_VALUE"""),152.3)</f>
        <v>152.3</v>
      </c>
      <c r="E2238" s="1">
        <f>IFERROR(__xludf.DUMMYFUNCTION("""COMPUTED_VALUE"""),153.71)</f>
        <v>153.71</v>
      </c>
      <c r="F2238" s="1">
        <f>IFERROR(__xludf.DUMMYFUNCTION("""COMPUTED_VALUE"""),50697.0)</f>
        <v>50697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IFERROR(__xludf.DUMMYFUNCTION("""COMPUTED_VALUE"""),153.86)</f>
        <v>153.86</v>
      </c>
      <c r="C2239" s="1">
        <f>IFERROR(__xludf.DUMMYFUNCTION("""COMPUTED_VALUE"""),156.1)</f>
        <v>156.1</v>
      </c>
      <c r="D2239" s="1">
        <f>IFERROR(__xludf.DUMMYFUNCTION("""COMPUTED_VALUE"""),151.33)</f>
        <v>151.33</v>
      </c>
      <c r="E2239" s="1">
        <f>IFERROR(__xludf.DUMMYFUNCTION("""COMPUTED_VALUE"""),153.15)</f>
        <v>153.15</v>
      </c>
      <c r="F2239" s="1">
        <f>IFERROR(__xludf.DUMMYFUNCTION("""COMPUTED_VALUE"""),44163.0)</f>
        <v>44163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IFERROR(__xludf.DUMMYFUNCTION("""COMPUTED_VALUE"""),153.16)</f>
        <v>153.16</v>
      </c>
      <c r="C2240" s="1">
        <f>IFERROR(__xludf.DUMMYFUNCTION("""COMPUTED_VALUE"""),154.5)</f>
        <v>154.5</v>
      </c>
      <c r="D2240" s="1">
        <f>IFERROR(__xludf.DUMMYFUNCTION("""COMPUTED_VALUE"""),151.2)</f>
        <v>151.2</v>
      </c>
      <c r="E2240" s="1">
        <f>IFERROR(__xludf.DUMMYFUNCTION("""COMPUTED_VALUE"""),152.15)</f>
        <v>152.15</v>
      </c>
      <c r="F2240" s="1">
        <f>IFERROR(__xludf.DUMMYFUNCTION("""COMPUTED_VALUE"""),27647.0)</f>
        <v>27647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IFERROR(__xludf.DUMMYFUNCTION("""COMPUTED_VALUE"""),152.14)</f>
        <v>152.14</v>
      </c>
      <c r="C2241" s="1">
        <f>IFERROR(__xludf.DUMMYFUNCTION("""COMPUTED_VALUE"""),154.7)</f>
        <v>154.7</v>
      </c>
      <c r="D2241" s="1">
        <f>IFERROR(__xludf.DUMMYFUNCTION("""COMPUTED_VALUE"""),152.12)</f>
        <v>152.12</v>
      </c>
      <c r="E2241" s="1">
        <f>IFERROR(__xludf.DUMMYFUNCTION("""COMPUTED_VALUE"""),153.87)</f>
        <v>153.87</v>
      </c>
      <c r="F2241" s="1">
        <f>IFERROR(__xludf.DUMMYFUNCTION("""COMPUTED_VALUE"""),13085.0)</f>
        <v>13085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IFERROR(__xludf.DUMMYFUNCTION("""COMPUTED_VALUE"""),153.7)</f>
        <v>153.7</v>
      </c>
      <c r="C2242" s="1">
        <f>IFERROR(__xludf.DUMMYFUNCTION("""COMPUTED_VALUE"""),153.98)</f>
        <v>153.98</v>
      </c>
      <c r="D2242" s="1">
        <f>IFERROR(__xludf.DUMMYFUNCTION("""COMPUTED_VALUE"""),150.94)</f>
        <v>150.94</v>
      </c>
      <c r="E2242" s="1">
        <f>IFERROR(__xludf.DUMMYFUNCTION("""COMPUTED_VALUE"""),152.79)</f>
        <v>152.79</v>
      </c>
      <c r="F2242" s="1">
        <f>IFERROR(__xludf.DUMMYFUNCTION("""COMPUTED_VALUE"""),41486.0)</f>
        <v>41486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IFERROR(__xludf.DUMMYFUNCTION("""COMPUTED_VALUE"""),152.32)</f>
        <v>152.32</v>
      </c>
      <c r="C2243" s="1">
        <f>IFERROR(__xludf.DUMMYFUNCTION("""COMPUTED_VALUE"""),154.56)</f>
        <v>154.56</v>
      </c>
      <c r="D2243" s="1">
        <f>IFERROR(__xludf.DUMMYFUNCTION("""COMPUTED_VALUE"""),151.65)</f>
        <v>151.65</v>
      </c>
      <c r="E2243" s="1">
        <f>IFERROR(__xludf.DUMMYFUNCTION("""COMPUTED_VALUE"""),153.75)</f>
        <v>153.75</v>
      </c>
      <c r="F2243" s="1">
        <f>IFERROR(__xludf.DUMMYFUNCTION("""COMPUTED_VALUE"""),48817.0)</f>
        <v>48817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IFERROR(__xludf.DUMMYFUNCTION("""COMPUTED_VALUE"""),153.76)</f>
        <v>153.76</v>
      </c>
      <c r="C2244" s="1">
        <f>IFERROR(__xludf.DUMMYFUNCTION("""COMPUTED_VALUE"""),157.17)</f>
        <v>157.17</v>
      </c>
      <c r="D2244" s="1">
        <f>IFERROR(__xludf.DUMMYFUNCTION("""COMPUTED_VALUE"""),153.76)</f>
        <v>153.76</v>
      </c>
      <c r="E2244" s="1">
        <f>IFERROR(__xludf.DUMMYFUNCTION("""COMPUTED_VALUE"""),156.23)</f>
        <v>156.23</v>
      </c>
      <c r="F2244" s="1">
        <f>IFERROR(__xludf.DUMMYFUNCTION("""COMPUTED_VALUE"""),53145.0)</f>
        <v>53145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IFERROR(__xludf.DUMMYFUNCTION("""COMPUTED_VALUE"""),155.99)</f>
        <v>155.99</v>
      </c>
      <c r="C2245" s="1">
        <f>IFERROR(__xludf.DUMMYFUNCTION("""COMPUTED_VALUE"""),158.41)</f>
        <v>158.41</v>
      </c>
      <c r="D2245" s="1">
        <f>IFERROR(__xludf.DUMMYFUNCTION("""COMPUTED_VALUE"""),154.72)</f>
        <v>154.72</v>
      </c>
      <c r="E2245" s="1">
        <f>IFERROR(__xludf.DUMMYFUNCTION("""COMPUTED_VALUE"""),155.48)</f>
        <v>155.48</v>
      </c>
      <c r="F2245" s="1">
        <f>IFERROR(__xludf.DUMMYFUNCTION("""COMPUTED_VALUE"""),50643.0)</f>
        <v>50643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IFERROR(__xludf.DUMMYFUNCTION("""COMPUTED_VALUE"""),155.17)</f>
        <v>155.17</v>
      </c>
      <c r="C2246" s="1">
        <f>IFERROR(__xludf.DUMMYFUNCTION("""COMPUTED_VALUE"""),157.12)</f>
        <v>157.12</v>
      </c>
      <c r="D2246" s="1">
        <f>IFERROR(__xludf.DUMMYFUNCTION("""COMPUTED_VALUE"""),155.17)</f>
        <v>155.17</v>
      </c>
      <c r="E2246" s="1">
        <f>IFERROR(__xludf.DUMMYFUNCTION("""COMPUTED_VALUE"""),156.87)</f>
        <v>156.87</v>
      </c>
      <c r="F2246" s="1">
        <f>IFERROR(__xludf.DUMMYFUNCTION("""COMPUTED_VALUE"""),74478.0)</f>
        <v>74478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IFERROR(__xludf.DUMMYFUNCTION("""COMPUTED_VALUE"""),156.61)</f>
        <v>156.61</v>
      </c>
      <c r="C2247" s="1">
        <f>IFERROR(__xludf.DUMMYFUNCTION("""COMPUTED_VALUE"""),156.61)</f>
        <v>156.61</v>
      </c>
      <c r="D2247" s="1">
        <f>IFERROR(__xludf.DUMMYFUNCTION("""COMPUTED_VALUE"""),153.02)</f>
        <v>153.02</v>
      </c>
      <c r="E2247" s="1">
        <f>IFERROR(__xludf.DUMMYFUNCTION("""COMPUTED_VALUE"""),154.71)</f>
        <v>154.71</v>
      </c>
      <c r="F2247" s="1">
        <f>IFERROR(__xludf.DUMMYFUNCTION("""COMPUTED_VALUE"""),43635.0)</f>
        <v>43635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IFERROR(__xludf.DUMMYFUNCTION("""COMPUTED_VALUE"""),154.7)</f>
        <v>154.7</v>
      </c>
      <c r="C2248" s="1">
        <f>IFERROR(__xludf.DUMMYFUNCTION("""COMPUTED_VALUE"""),155.45)</f>
        <v>155.45</v>
      </c>
      <c r="D2248" s="1">
        <f>IFERROR(__xludf.DUMMYFUNCTION("""COMPUTED_VALUE"""),150.01)</f>
        <v>150.01</v>
      </c>
      <c r="E2248" s="1">
        <f>IFERROR(__xludf.DUMMYFUNCTION("""COMPUTED_VALUE"""),150.64)</f>
        <v>150.64</v>
      </c>
      <c r="F2248" s="1">
        <f>IFERROR(__xludf.DUMMYFUNCTION("""COMPUTED_VALUE"""),48940.0)</f>
        <v>48940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IFERROR(__xludf.DUMMYFUNCTION("""COMPUTED_VALUE"""),150.02)</f>
        <v>150.02</v>
      </c>
      <c r="C2249" s="1">
        <f>IFERROR(__xludf.DUMMYFUNCTION("""COMPUTED_VALUE"""),152.0)</f>
        <v>152</v>
      </c>
      <c r="D2249" s="1">
        <f>IFERROR(__xludf.DUMMYFUNCTION("""COMPUTED_VALUE"""),148.07)</f>
        <v>148.07</v>
      </c>
      <c r="E2249" s="1">
        <f>IFERROR(__xludf.DUMMYFUNCTION("""COMPUTED_VALUE"""),150.83)</f>
        <v>150.83</v>
      </c>
      <c r="F2249" s="1">
        <f>IFERROR(__xludf.DUMMYFUNCTION("""COMPUTED_VALUE"""),50057.0)</f>
        <v>50057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IFERROR(__xludf.DUMMYFUNCTION("""COMPUTED_VALUE"""),150.92)</f>
        <v>150.92</v>
      </c>
      <c r="C2250" s="1">
        <f>IFERROR(__xludf.DUMMYFUNCTION("""COMPUTED_VALUE"""),153.69)</f>
        <v>153.69</v>
      </c>
      <c r="D2250" s="1">
        <f>IFERROR(__xludf.DUMMYFUNCTION("""COMPUTED_VALUE"""),150.92)</f>
        <v>150.92</v>
      </c>
      <c r="E2250" s="1">
        <f>IFERROR(__xludf.DUMMYFUNCTION("""COMPUTED_VALUE"""),153.57)</f>
        <v>153.57</v>
      </c>
      <c r="F2250" s="1">
        <f>IFERROR(__xludf.DUMMYFUNCTION("""COMPUTED_VALUE"""),63232.0)</f>
        <v>63232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IFERROR(__xludf.DUMMYFUNCTION("""COMPUTED_VALUE"""),154.06)</f>
        <v>154.06</v>
      </c>
      <c r="C2251" s="1">
        <f>IFERROR(__xludf.DUMMYFUNCTION("""COMPUTED_VALUE"""),154.06)</f>
        <v>154.06</v>
      </c>
      <c r="D2251" s="1">
        <f>IFERROR(__xludf.DUMMYFUNCTION("""COMPUTED_VALUE"""),149.86)</f>
        <v>149.86</v>
      </c>
      <c r="E2251" s="1">
        <f>IFERROR(__xludf.DUMMYFUNCTION("""COMPUTED_VALUE"""),153.03)</f>
        <v>153.03</v>
      </c>
      <c r="F2251" s="1">
        <f>IFERROR(__xludf.DUMMYFUNCTION("""COMPUTED_VALUE"""),54228.0)</f>
        <v>54228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IFERROR(__xludf.DUMMYFUNCTION("""COMPUTED_VALUE"""),153.93)</f>
        <v>153.93</v>
      </c>
      <c r="C2252" s="1">
        <f>IFERROR(__xludf.DUMMYFUNCTION("""COMPUTED_VALUE"""),155.6)</f>
        <v>155.6</v>
      </c>
      <c r="D2252" s="1">
        <f>IFERROR(__xludf.DUMMYFUNCTION("""COMPUTED_VALUE"""),152.35)</f>
        <v>152.35</v>
      </c>
      <c r="E2252" s="1">
        <f>IFERROR(__xludf.DUMMYFUNCTION("""COMPUTED_VALUE"""),154.76)</f>
        <v>154.76</v>
      </c>
      <c r="F2252" s="1">
        <f>IFERROR(__xludf.DUMMYFUNCTION("""COMPUTED_VALUE"""),46910.0)</f>
        <v>46910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IFERROR(__xludf.DUMMYFUNCTION("""COMPUTED_VALUE"""),155.55)</f>
        <v>155.55</v>
      </c>
      <c r="C2253" s="1">
        <f>IFERROR(__xludf.DUMMYFUNCTION("""COMPUTED_VALUE"""),159.75)</f>
        <v>159.75</v>
      </c>
      <c r="D2253" s="1">
        <f>IFERROR(__xludf.DUMMYFUNCTION("""COMPUTED_VALUE"""),152.36)</f>
        <v>152.36</v>
      </c>
      <c r="E2253" s="1">
        <f>IFERROR(__xludf.DUMMYFUNCTION("""COMPUTED_VALUE"""),158.74)</f>
        <v>158.74</v>
      </c>
      <c r="F2253" s="1">
        <f>IFERROR(__xludf.DUMMYFUNCTION("""COMPUTED_VALUE"""),50308.0)</f>
        <v>50308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IFERROR(__xludf.DUMMYFUNCTION("""COMPUTED_VALUE"""),158.79)</f>
        <v>158.79</v>
      </c>
      <c r="C2254" s="1">
        <f>IFERROR(__xludf.DUMMYFUNCTION("""COMPUTED_VALUE"""),159.86)</f>
        <v>159.86</v>
      </c>
      <c r="D2254" s="1">
        <f>IFERROR(__xludf.DUMMYFUNCTION("""COMPUTED_VALUE"""),156.98)</f>
        <v>156.98</v>
      </c>
      <c r="E2254" s="1">
        <f>IFERROR(__xludf.DUMMYFUNCTION("""COMPUTED_VALUE"""),159.23)</f>
        <v>159.23</v>
      </c>
      <c r="F2254" s="1">
        <f>IFERROR(__xludf.DUMMYFUNCTION("""COMPUTED_VALUE"""),53157.0)</f>
        <v>53157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IFERROR(__xludf.DUMMYFUNCTION("""COMPUTED_VALUE"""),158.13)</f>
        <v>158.13</v>
      </c>
      <c r="C2255" s="1">
        <f>IFERROR(__xludf.DUMMYFUNCTION("""COMPUTED_VALUE"""),158.52)</f>
        <v>158.52</v>
      </c>
      <c r="D2255" s="1">
        <f>IFERROR(__xludf.DUMMYFUNCTION("""COMPUTED_VALUE"""),153.21)</f>
        <v>153.21</v>
      </c>
      <c r="E2255" s="1">
        <f>IFERROR(__xludf.DUMMYFUNCTION("""COMPUTED_VALUE"""),153.74)</f>
        <v>153.74</v>
      </c>
      <c r="F2255" s="1">
        <f>IFERROR(__xludf.DUMMYFUNCTION("""COMPUTED_VALUE"""),52820.0)</f>
        <v>52820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IFERROR(__xludf.DUMMYFUNCTION("""COMPUTED_VALUE"""),153.2)</f>
        <v>153.2</v>
      </c>
      <c r="C2256" s="1">
        <f>IFERROR(__xludf.DUMMYFUNCTION("""COMPUTED_VALUE"""),153.89)</f>
        <v>153.89</v>
      </c>
      <c r="D2256" s="1">
        <f>IFERROR(__xludf.DUMMYFUNCTION("""COMPUTED_VALUE"""),145.75)</f>
        <v>145.75</v>
      </c>
      <c r="E2256" s="1">
        <f>IFERROR(__xludf.DUMMYFUNCTION("""COMPUTED_VALUE"""),149.66)</f>
        <v>149.66</v>
      </c>
      <c r="F2256" s="1">
        <f>IFERROR(__xludf.DUMMYFUNCTION("""COMPUTED_VALUE"""),57238.0)</f>
        <v>57238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IFERROR(__xludf.DUMMYFUNCTION("""COMPUTED_VALUE"""),149.9)</f>
        <v>149.9</v>
      </c>
      <c r="C2257" s="1">
        <f>IFERROR(__xludf.DUMMYFUNCTION("""COMPUTED_VALUE"""),152.08)</f>
        <v>152.08</v>
      </c>
      <c r="D2257" s="1">
        <f>IFERROR(__xludf.DUMMYFUNCTION("""COMPUTED_VALUE"""),144.84)</f>
        <v>144.84</v>
      </c>
      <c r="E2257" s="1">
        <f>IFERROR(__xludf.DUMMYFUNCTION("""COMPUTED_VALUE"""),146.2)</f>
        <v>146.2</v>
      </c>
      <c r="F2257" s="1">
        <f>IFERROR(__xludf.DUMMYFUNCTION("""COMPUTED_VALUE"""),86029.0)</f>
        <v>86029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IFERROR(__xludf.DUMMYFUNCTION("""COMPUTED_VALUE"""),146.68)</f>
        <v>146.68</v>
      </c>
      <c r="C2258" s="1">
        <f>IFERROR(__xludf.DUMMYFUNCTION("""COMPUTED_VALUE"""),150.87)</f>
        <v>150.87</v>
      </c>
      <c r="D2258" s="1">
        <f>IFERROR(__xludf.DUMMYFUNCTION("""COMPUTED_VALUE"""),144.92)</f>
        <v>144.92</v>
      </c>
      <c r="E2258" s="1">
        <f>IFERROR(__xludf.DUMMYFUNCTION("""COMPUTED_VALUE"""),149.55)</f>
        <v>149.55</v>
      </c>
      <c r="F2258" s="1">
        <f>IFERROR(__xludf.DUMMYFUNCTION("""COMPUTED_VALUE"""),83000.0)</f>
        <v>83000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IFERROR(__xludf.DUMMYFUNCTION("""COMPUTED_VALUE"""),149.56)</f>
        <v>149.56</v>
      </c>
      <c r="C2259" s="1">
        <f>IFERROR(__xludf.DUMMYFUNCTION("""COMPUTED_VALUE"""),150.0)</f>
        <v>150</v>
      </c>
      <c r="D2259" s="1">
        <f>IFERROR(__xludf.DUMMYFUNCTION("""COMPUTED_VALUE"""),146.35)</f>
        <v>146.35</v>
      </c>
      <c r="E2259" s="1">
        <f>IFERROR(__xludf.DUMMYFUNCTION("""COMPUTED_VALUE"""),148.02)</f>
        <v>148.02</v>
      </c>
      <c r="F2259" s="1">
        <f>IFERROR(__xludf.DUMMYFUNCTION("""COMPUTED_VALUE"""),156173.0)</f>
        <v>156173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IFERROR(__xludf.DUMMYFUNCTION("""COMPUTED_VALUE"""),147.44)</f>
        <v>147.44</v>
      </c>
      <c r="C2260" s="1">
        <f>IFERROR(__xludf.DUMMYFUNCTION("""COMPUTED_VALUE"""),150.05)</f>
        <v>150.05</v>
      </c>
      <c r="D2260" s="1">
        <f>IFERROR(__xludf.DUMMYFUNCTION("""COMPUTED_VALUE"""),142.54)</f>
        <v>142.54</v>
      </c>
      <c r="E2260" s="1">
        <f>IFERROR(__xludf.DUMMYFUNCTION("""COMPUTED_VALUE"""),142.59)</f>
        <v>142.59</v>
      </c>
      <c r="F2260" s="1">
        <f>IFERROR(__xludf.DUMMYFUNCTION("""COMPUTED_VALUE"""),209593.0)</f>
        <v>209593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IFERROR(__xludf.DUMMYFUNCTION("""COMPUTED_VALUE"""),141.81)</f>
        <v>141.81</v>
      </c>
      <c r="C2261" s="1">
        <f>IFERROR(__xludf.DUMMYFUNCTION("""COMPUTED_VALUE"""),143.72)</f>
        <v>143.72</v>
      </c>
      <c r="D2261" s="1">
        <f>IFERROR(__xludf.DUMMYFUNCTION("""COMPUTED_VALUE"""),140.68)</f>
        <v>140.68</v>
      </c>
      <c r="E2261" s="1">
        <f>IFERROR(__xludf.DUMMYFUNCTION("""COMPUTED_VALUE"""),140.68)</f>
        <v>140.68</v>
      </c>
      <c r="F2261" s="1">
        <f>IFERROR(__xludf.DUMMYFUNCTION("""COMPUTED_VALUE"""),44845.0)</f>
        <v>44845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IFERROR(__xludf.DUMMYFUNCTION("""COMPUTED_VALUE"""),140.95)</f>
        <v>140.95</v>
      </c>
      <c r="C2262" s="1">
        <f>IFERROR(__xludf.DUMMYFUNCTION("""COMPUTED_VALUE"""),144.18)</f>
        <v>144.18</v>
      </c>
      <c r="D2262" s="1">
        <f>IFERROR(__xludf.DUMMYFUNCTION("""COMPUTED_VALUE"""),138.65)</f>
        <v>138.65</v>
      </c>
      <c r="E2262" s="1">
        <f>IFERROR(__xludf.DUMMYFUNCTION("""COMPUTED_VALUE"""),143.42)</f>
        <v>143.42</v>
      </c>
      <c r="F2262" s="1">
        <f>IFERROR(__xludf.DUMMYFUNCTION("""COMPUTED_VALUE"""),51748.0)</f>
        <v>51748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IFERROR(__xludf.DUMMYFUNCTION("""COMPUTED_VALUE"""),142.63)</f>
        <v>142.63</v>
      </c>
      <c r="C2263" s="1">
        <f>IFERROR(__xludf.DUMMYFUNCTION("""COMPUTED_VALUE"""),144.63)</f>
        <v>144.63</v>
      </c>
      <c r="D2263" s="1">
        <f>IFERROR(__xludf.DUMMYFUNCTION("""COMPUTED_VALUE"""),140.01)</f>
        <v>140.01</v>
      </c>
      <c r="E2263" s="1">
        <f>IFERROR(__xludf.DUMMYFUNCTION("""COMPUTED_VALUE"""),144.63)</f>
        <v>144.63</v>
      </c>
      <c r="F2263" s="1">
        <f>IFERROR(__xludf.DUMMYFUNCTION("""COMPUTED_VALUE"""),72017.0)</f>
        <v>72017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IFERROR(__xludf.DUMMYFUNCTION("""COMPUTED_VALUE"""),145.1)</f>
        <v>145.1</v>
      </c>
      <c r="C2264" s="1">
        <f>IFERROR(__xludf.DUMMYFUNCTION("""COMPUTED_VALUE"""),147.67)</f>
        <v>147.67</v>
      </c>
      <c r="D2264" s="1">
        <f>IFERROR(__xludf.DUMMYFUNCTION("""COMPUTED_VALUE"""),141.1)</f>
        <v>141.1</v>
      </c>
      <c r="E2264" s="1">
        <f>IFERROR(__xludf.DUMMYFUNCTION("""COMPUTED_VALUE"""),142.93)</f>
        <v>142.93</v>
      </c>
      <c r="F2264" s="1">
        <f>IFERROR(__xludf.DUMMYFUNCTION("""COMPUTED_VALUE"""),62322.0)</f>
        <v>62322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IFERROR(__xludf.DUMMYFUNCTION("""COMPUTED_VALUE"""),143.52)</f>
        <v>143.52</v>
      </c>
      <c r="C2265" s="1">
        <f>IFERROR(__xludf.DUMMYFUNCTION("""COMPUTED_VALUE"""),145.24)</f>
        <v>145.24</v>
      </c>
      <c r="D2265" s="1">
        <f>IFERROR(__xludf.DUMMYFUNCTION("""COMPUTED_VALUE"""),141.72)</f>
        <v>141.72</v>
      </c>
      <c r="E2265" s="1">
        <f>IFERROR(__xludf.DUMMYFUNCTION("""COMPUTED_VALUE"""),144.59)</f>
        <v>144.59</v>
      </c>
      <c r="F2265" s="1">
        <f>IFERROR(__xludf.DUMMYFUNCTION("""COMPUTED_VALUE"""),64935.0)</f>
        <v>64935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IFERROR(__xludf.DUMMYFUNCTION("""COMPUTED_VALUE"""),143.42)</f>
        <v>143.42</v>
      </c>
      <c r="C2266" s="1">
        <f>IFERROR(__xludf.DUMMYFUNCTION("""COMPUTED_VALUE"""),144.04)</f>
        <v>144.04</v>
      </c>
      <c r="D2266" s="1">
        <f>IFERROR(__xludf.DUMMYFUNCTION("""COMPUTED_VALUE"""),139.12)</f>
        <v>139.12</v>
      </c>
      <c r="E2266" s="1">
        <f>IFERROR(__xludf.DUMMYFUNCTION("""COMPUTED_VALUE"""),141.0)</f>
        <v>141</v>
      </c>
      <c r="F2266" s="1">
        <f>IFERROR(__xludf.DUMMYFUNCTION("""COMPUTED_VALUE"""),112825.0)</f>
        <v>112825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IFERROR(__xludf.DUMMYFUNCTION("""COMPUTED_VALUE"""),140.6)</f>
        <v>140.6</v>
      </c>
      <c r="C2267" s="1">
        <f>IFERROR(__xludf.DUMMYFUNCTION("""COMPUTED_VALUE"""),145.91)</f>
        <v>145.91</v>
      </c>
      <c r="D2267" s="1">
        <f>IFERROR(__xludf.DUMMYFUNCTION("""COMPUTED_VALUE"""),140.27)</f>
        <v>140.27</v>
      </c>
      <c r="E2267" s="1">
        <f>IFERROR(__xludf.DUMMYFUNCTION("""COMPUTED_VALUE"""),143.02)</f>
        <v>143.02</v>
      </c>
      <c r="F2267" s="1">
        <f>IFERROR(__xludf.DUMMYFUNCTION("""COMPUTED_VALUE"""),84331.0)</f>
        <v>84331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IFERROR(__xludf.DUMMYFUNCTION("""COMPUTED_VALUE"""),144.19)</f>
        <v>144.19</v>
      </c>
      <c r="C2268" s="1">
        <f>IFERROR(__xludf.DUMMYFUNCTION("""COMPUTED_VALUE"""),147.37)</f>
        <v>147.37</v>
      </c>
      <c r="D2268" s="1">
        <f>IFERROR(__xludf.DUMMYFUNCTION("""COMPUTED_VALUE"""),143.16)</f>
        <v>143.16</v>
      </c>
      <c r="E2268" s="1">
        <f>IFERROR(__xludf.DUMMYFUNCTION("""COMPUTED_VALUE"""),144.84)</f>
        <v>144.84</v>
      </c>
      <c r="F2268" s="1">
        <f>IFERROR(__xludf.DUMMYFUNCTION("""COMPUTED_VALUE"""),88233.0)</f>
        <v>88233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IFERROR(__xludf.DUMMYFUNCTION("""COMPUTED_VALUE"""),144.37)</f>
        <v>144.37</v>
      </c>
      <c r="C2269" s="1">
        <f>IFERROR(__xludf.DUMMYFUNCTION("""COMPUTED_VALUE"""),147.87)</f>
        <v>147.87</v>
      </c>
      <c r="D2269" s="1">
        <f>IFERROR(__xludf.DUMMYFUNCTION("""COMPUTED_VALUE"""),142.83)</f>
        <v>142.83</v>
      </c>
      <c r="E2269" s="1">
        <f>IFERROR(__xludf.DUMMYFUNCTION("""COMPUTED_VALUE"""),145.41)</f>
        <v>145.41</v>
      </c>
      <c r="F2269" s="1">
        <f>IFERROR(__xludf.DUMMYFUNCTION("""COMPUTED_VALUE"""),79539.0)</f>
        <v>79539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IFERROR(__xludf.DUMMYFUNCTION("""COMPUTED_VALUE"""),146.15)</f>
        <v>146.15</v>
      </c>
      <c r="C2270" s="1">
        <f>IFERROR(__xludf.DUMMYFUNCTION("""COMPUTED_VALUE"""),149.3)</f>
        <v>149.3</v>
      </c>
      <c r="D2270" s="1">
        <f>IFERROR(__xludf.DUMMYFUNCTION("""COMPUTED_VALUE"""),145.5)</f>
        <v>145.5</v>
      </c>
      <c r="E2270" s="1">
        <f>IFERROR(__xludf.DUMMYFUNCTION("""COMPUTED_VALUE"""),148.7)</f>
        <v>148.7</v>
      </c>
      <c r="F2270" s="1">
        <f>IFERROR(__xludf.DUMMYFUNCTION("""COMPUTED_VALUE"""),70200.0)</f>
        <v>70200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IFERROR(__xludf.DUMMYFUNCTION("""COMPUTED_VALUE"""),148.74)</f>
        <v>148.74</v>
      </c>
      <c r="C2271" s="1">
        <f>IFERROR(__xludf.DUMMYFUNCTION("""COMPUTED_VALUE"""),151.0)</f>
        <v>151</v>
      </c>
      <c r="D2271" s="1">
        <f>IFERROR(__xludf.DUMMYFUNCTION("""COMPUTED_VALUE"""),146.1)</f>
        <v>146.1</v>
      </c>
      <c r="E2271" s="1">
        <f>IFERROR(__xludf.DUMMYFUNCTION("""COMPUTED_VALUE"""),147.71)</f>
        <v>147.71</v>
      </c>
      <c r="F2271" s="1">
        <f>IFERROR(__xludf.DUMMYFUNCTION("""COMPUTED_VALUE"""),63591.0)</f>
        <v>63591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IFERROR(__xludf.DUMMYFUNCTION("""COMPUTED_VALUE"""),147.21)</f>
        <v>147.21</v>
      </c>
      <c r="C2272" s="1">
        <f>IFERROR(__xludf.DUMMYFUNCTION("""COMPUTED_VALUE"""),150.0)</f>
        <v>150</v>
      </c>
      <c r="D2272" s="1">
        <f>IFERROR(__xludf.DUMMYFUNCTION("""COMPUTED_VALUE"""),146.12)</f>
        <v>146.12</v>
      </c>
      <c r="E2272" s="1">
        <f>IFERROR(__xludf.DUMMYFUNCTION("""COMPUTED_VALUE"""),148.91)</f>
        <v>148.91</v>
      </c>
      <c r="F2272" s="1">
        <f>IFERROR(__xludf.DUMMYFUNCTION("""COMPUTED_VALUE"""),66135.0)</f>
        <v>66135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IFERROR(__xludf.DUMMYFUNCTION("""COMPUTED_VALUE"""),149.21)</f>
        <v>149.21</v>
      </c>
      <c r="C2273" s="1">
        <f>IFERROR(__xludf.DUMMYFUNCTION("""COMPUTED_VALUE"""),150.44)</f>
        <v>150.44</v>
      </c>
      <c r="D2273" s="1">
        <f>IFERROR(__xludf.DUMMYFUNCTION("""COMPUTED_VALUE"""),147.71)</f>
        <v>147.71</v>
      </c>
      <c r="E2273" s="1">
        <f>IFERROR(__xludf.DUMMYFUNCTION("""COMPUTED_VALUE"""),148.89)</f>
        <v>148.89</v>
      </c>
      <c r="F2273" s="1">
        <f>IFERROR(__xludf.DUMMYFUNCTION("""COMPUTED_VALUE"""),57952.0)</f>
        <v>57952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IFERROR(__xludf.DUMMYFUNCTION("""COMPUTED_VALUE"""),148.73)</f>
        <v>148.73</v>
      </c>
      <c r="C2274" s="1">
        <f>IFERROR(__xludf.DUMMYFUNCTION("""COMPUTED_VALUE"""),149.57)</f>
        <v>149.57</v>
      </c>
      <c r="D2274" s="1">
        <f>IFERROR(__xludf.DUMMYFUNCTION("""COMPUTED_VALUE"""),147.7)</f>
        <v>147.7</v>
      </c>
      <c r="E2274" s="1">
        <f>IFERROR(__xludf.DUMMYFUNCTION("""COMPUTED_VALUE"""),147.7)</f>
        <v>147.7</v>
      </c>
      <c r="F2274" s="1">
        <f>IFERROR(__xludf.DUMMYFUNCTION("""COMPUTED_VALUE"""),92311.0)</f>
        <v>92311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IFERROR(__xludf.DUMMYFUNCTION("""COMPUTED_VALUE"""),148.19)</f>
        <v>148.19</v>
      </c>
      <c r="C2275" s="1">
        <f>IFERROR(__xludf.DUMMYFUNCTION("""COMPUTED_VALUE"""),148.5)</f>
        <v>148.5</v>
      </c>
      <c r="D2275" s="1">
        <f>IFERROR(__xludf.DUMMYFUNCTION("""COMPUTED_VALUE"""),145.2)</f>
        <v>145.2</v>
      </c>
      <c r="E2275" s="1">
        <f>IFERROR(__xludf.DUMMYFUNCTION("""COMPUTED_VALUE"""),146.0)</f>
        <v>146</v>
      </c>
      <c r="F2275" s="1">
        <f>IFERROR(__xludf.DUMMYFUNCTION("""COMPUTED_VALUE"""),89393.0)</f>
        <v>89393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IFERROR(__xludf.DUMMYFUNCTION("""COMPUTED_VALUE"""),146.39)</f>
        <v>146.39</v>
      </c>
      <c r="C2276" s="1">
        <f>IFERROR(__xludf.DUMMYFUNCTION("""COMPUTED_VALUE"""),148.2)</f>
        <v>148.2</v>
      </c>
      <c r="D2276" s="1">
        <f>IFERROR(__xludf.DUMMYFUNCTION("""COMPUTED_VALUE"""),142.99)</f>
        <v>142.99</v>
      </c>
      <c r="E2276" s="1">
        <f>IFERROR(__xludf.DUMMYFUNCTION("""COMPUTED_VALUE"""),143.84)</f>
        <v>143.84</v>
      </c>
      <c r="F2276" s="1">
        <f>IFERROR(__xludf.DUMMYFUNCTION("""COMPUTED_VALUE"""),105068.0)</f>
        <v>105068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IFERROR(__xludf.DUMMYFUNCTION("""COMPUTED_VALUE"""),144.53)</f>
        <v>144.53</v>
      </c>
      <c r="C2277" s="1">
        <f>IFERROR(__xludf.DUMMYFUNCTION("""COMPUTED_VALUE"""),147.09)</f>
        <v>147.09</v>
      </c>
      <c r="D2277" s="1">
        <f>IFERROR(__xludf.DUMMYFUNCTION("""COMPUTED_VALUE"""),144.0)</f>
        <v>144</v>
      </c>
      <c r="E2277" s="1">
        <f>IFERROR(__xludf.DUMMYFUNCTION("""COMPUTED_VALUE"""),145.76)</f>
        <v>145.76</v>
      </c>
      <c r="F2277" s="1">
        <f>IFERROR(__xludf.DUMMYFUNCTION("""COMPUTED_VALUE"""),85383.0)</f>
        <v>85383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IFERROR(__xludf.DUMMYFUNCTION("""COMPUTED_VALUE"""),145.54)</f>
        <v>145.54</v>
      </c>
      <c r="C2278" s="1">
        <f>IFERROR(__xludf.DUMMYFUNCTION("""COMPUTED_VALUE"""),149.48)</f>
        <v>149.48</v>
      </c>
      <c r="D2278" s="1">
        <f>IFERROR(__xludf.DUMMYFUNCTION("""COMPUTED_VALUE"""),143.61)</f>
        <v>143.61</v>
      </c>
      <c r="E2278" s="1">
        <f>IFERROR(__xludf.DUMMYFUNCTION("""COMPUTED_VALUE"""),147.24)</f>
        <v>147.24</v>
      </c>
      <c r="F2278" s="1">
        <f>IFERROR(__xludf.DUMMYFUNCTION("""COMPUTED_VALUE"""),98586.0)</f>
        <v>98586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IFERROR(__xludf.DUMMYFUNCTION("""COMPUTED_VALUE"""),147.07)</f>
        <v>147.07</v>
      </c>
      <c r="C2279" s="1">
        <f>IFERROR(__xludf.DUMMYFUNCTION("""COMPUTED_VALUE"""),147.7)</f>
        <v>147.7</v>
      </c>
      <c r="D2279" s="1">
        <f>IFERROR(__xludf.DUMMYFUNCTION("""COMPUTED_VALUE"""),143.42)</f>
        <v>143.42</v>
      </c>
      <c r="E2279" s="1">
        <f>IFERROR(__xludf.DUMMYFUNCTION("""COMPUTED_VALUE"""),144.54)</f>
        <v>144.54</v>
      </c>
      <c r="F2279" s="1">
        <f>IFERROR(__xludf.DUMMYFUNCTION("""COMPUTED_VALUE"""),112606.0)</f>
        <v>112606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IFERROR(__xludf.DUMMYFUNCTION("""COMPUTED_VALUE"""),145.03)</f>
        <v>145.03</v>
      </c>
      <c r="C2280" s="1">
        <f>IFERROR(__xludf.DUMMYFUNCTION("""COMPUTED_VALUE"""),146.72)</f>
        <v>146.72</v>
      </c>
      <c r="D2280" s="1">
        <f>IFERROR(__xludf.DUMMYFUNCTION("""COMPUTED_VALUE"""),144.0)</f>
        <v>144</v>
      </c>
      <c r="E2280" s="1">
        <f>IFERROR(__xludf.DUMMYFUNCTION("""COMPUTED_VALUE"""),146.21)</f>
        <v>146.21</v>
      </c>
      <c r="F2280" s="1">
        <f>IFERROR(__xludf.DUMMYFUNCTION("""COMPUTED_VALUE"""),138011.0)</f>
        <v>138011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IFERROR(__xludf.DUMMYFUNCTION("""COMPUTED_VALUE"""),146.08)</f>
        <v>146.08</v>
      </c>
      <c r="C2281" s="1">
        <f>IFERROR(__xludf.DUMMYFUNCTION("""COMPUTED_VALUE"""),146.91)</f>
        <v>146.91</v>
      </c>
      <c r="D2281" s="1">
        <f>IFERROR(__xludf.DUMMYFUNCTION("""COMPUTED_VALUE"""),145.15)</f>
        <v>145.15</v>
      </c>
      <c r="E2281" s="1">
        <f>IFERROR(__xludf.DUMMYFUNCTION("""COMPUTED_VALUE"""),145.8)</f>
        <v>145.8</v>
      </c>
      <c r="F2281" s="1">
        <f>IFERROR(__xludf.DUMMYFUNCTION("""COMPUTED_VALUE"""),90458.0)</f>
        <v>90458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IFERROR(__xludf.DUMMYFUNCTION("""COMPUTED_VALUE"""),145.86)</f>
        <v>145.86</v>
      </c>
      <c r="C2282" s="1">
        <f>IFERROR(__xludf.DUMMYFUNCTION("""COMPUTED_VALUE"""),147.44)</f>
        <v>147.44</v>
      </c>
      <c r="D2282" s="1">
        <f>IFERROR(__xludf.DUMMYFUNCTION("""COMPUTED_VALUE"""),144.23)</f>
        <v>144.23</v>
      </c>
      <c r="E2282" s="1">
        <f>IFERROR(__xludf.DUMMYFUNCTION("""COMPUTED_VALUE"""),144.55)</f>
        <v>144.55</v>
      </c>
      <c r="F2282" s="1">
        <f>IFERROR(__xludf.DUMMYFUNCTION("""COMPUTED_VALUE"""),90705.0)</f>
        <v>90705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IFERROR(__xludf.DUMMYFUNCTION("""COMPUTED_VALUE"""),143.13)</f>
        <v>143.13</v>
      </c>
      <c r="C2283" s="1">
        <f>IFERROR(__xludf.DUMMYFUNCTION("""COMPUTED_VALUE"""),143.13)</f>
        <v>143.13</v>
      </c>
      <c r="D2283" s="1">
        <f>IFERROR(__xludf.DUMMYFUNCTION("""COMPUTED_VALUE"""),138.4)</f>
        <v>138.4</v>
      </c>
      <c r="E2283" s="1">
        <f>IFERROR(__xludf.DUMMYFUNCTION("""COMPUTED_VALUE"""),140.0)</f>
        <v>140</v>
      </c>
      <c r="F2283" s="1">
        <f>IFERROR(__xludf.DUMMYFUNCTION("""COMPUTED_VALUE"""),156991.0)</f>
        <v>156991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IFERROR(__xludf.DUMMYFUNCTION("""COMPUTED_VALUE"""),151.76)</f>
        <v>151.76</v>
      </c>
      <c r="C2284" s="1">
        <f>IFERROR(__xludf.DUMMYFUNCTION("""COMPUTED_VALUE"""),162.84)</f>
        <v>162.84</v>
      </c>
      <c r="D2284" s="1">
        <f>IFERROR(__xludf.DUMMYFUNCTION("""COMPUTED_VALUE"""),146.8)</f>
        <v>146.8</v>
      </c>
      <c r="E2284" s="1">
        <f>IFERROR(__xludf.DUMMYFUNCTION("""COMPUTED_VALUE"""),156.82)</f>
        <v>156.82</v>
      </c>
      <c r="F2284" s="1">
        <f>IFERROR(__xludf.DUMMYFUNCTION("""COMPUTED_VALUE"""),251608.0)</f>
        <v>251608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IFERROR(__xludf.DUMMYFUNCTION("""COMPUTED_VALUE"""),157.0)</f>
        <v>157</v>
      </c>
      <c r="C2285" s="1">
        <f>IFERROR(__xludf.DUMMYFUNCTION("""COMPUTED_VALUE"""),159.6)</f>
        <v>159.6</v>
      </c>
      <c r="D2285" s="1">
        <f>IFERROR(__xludf.DUMMYFUNCTION("""COMPUTED_VALUE"""),149.88)</f>
        <v>149.88</v>
      </c>
      <c r="E2285" s="1">
        <f>IFERROR(__xludf.DUMMYFUNCTION("""COMPUTED_VALUE"""),150.5)</f>
        <v>150.5</v>
      </c>
      <c r="F2285" s="1">
        <f>IFERROR(__xludf.DUMMYFUNCTION("""COMPUTED_VALUE"""),87854.0)</f>
        <v>87854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IFERROR(__xludf.DUMMYFUNCTION("""COMPUTED_VALUE"""),149.96)</f>
        <v>149.96</v>
      </c>
      <c r="C2286" s="1">
        <f>IFERROR(__xludf.DUMMYFUNCTION("""COMPUTED_VALUE"""),154.38)</f>
        <v>154.38</v>
      </c>
      <c r="D2286" s="1">
        <f>IFERROR(__xludf.DUMMYFUNCTION("""COMPUTED_VALUE"""),148.43)</f>
        <v>148.43</v>
      </c>
      <c r="E2286" s="1">
        <f>IFERROR(__xludf.DUMMYFUNCTION("""COMPUTED_VALUE"""),154.35)</f>
        <v>154.35</v>
      </c>
      <c r="F2286" s="1">
        <f>IFERROR(__xludf.DUMMYFUNCTION("""COMPUTED_VALUE"""),109251.0)</f>
        <v>109251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IFERROR(__xludf.DUMMYFUNCTION("""COMPUTED_VALUE"""),154.85)</f>
        <v>154.85</v>
      </c>
      <c r="C2287" s="1">
        <f>IFERROR(__xludf.DUMMYFUNCTION("""COMPUTED_VALUE"""),155.15)</f>
        <v>155.15</v>
      </c>
      <c r="D2287" s="1">
        <f>IFERROR(__xludf.DUMMYFUNCTION("""COMPUTED_VALUE"""),152.63)</f>
        <v>152.63</v>
      </c>
      <c r="E2287" s="1">
        <f>IFERROR(__xludf.DUMMYFUNCTION("""COMPUTED_VALUE"""),154.8)</f>
        <v>154.8</v>
      </c>
      <c r="F2287" s="1">
        <f>IFERROR(__xludf.DUMMYFUNCTION("""COMPUTED_VALUE"""),98096.0)</f>
        <v>98096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IFERROR(__xludf.DUMMYFUNCTION("""COMPUTED_VALUE"""),155.39)</f>
        <v>155.39</v>
      </c>
      <c r="C2288" s="1">
        <f>IFERROR(__xludf.DUMMYFUNCTION("""COMPUTED_VALUE"""),159.05)</f>
        <v>159.05</v>
      </c>
      <c r="D2288" s="1">
        <f>IFERROR(__xludf.DUMMYFUNCTION("""COMPUTED_VALUE"""),154.81)</f>
        <v>154.81</v>
      </c>
      <c r="E2288" s="1">
        <f>IFERROR(__xludf.DUMMYFUNCTION("""COMPUTED_VALUE"""),158.44)</f>
        <v>158.44</v>
      </c>
      <c r="F2288" s="1">
        <f>IFERROR(__xludf.DUMMYFUNCTION("""COMPUTED_VALUE"""),99015.0)</f>
        <v>99015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IFERROR(__xludf.DUMMYFUNCTION("""COMPUTED_VALUE"""),159.1)</f>
        <v>159.1</v>
      </c>
      <c r="C2289" s="1">
        <f>IFERROR(__xludf.DUMMYFUNCTION("""COMPUTED_VALUE"""),159.22)</f>
        <v>159.22</v>
      </c>
      <c r="D2289" s="1">
        <f>IFERROR(__xludf.DUMMYFUNCTION("""COMPUTED_VALUE"""),157.56)</f>
        <v>157.56</v>
      </c>
      <c r="E2289" s="1">
        <f>IFERROR(__xludf.DUMMYFUNCTION("""COMPUTED_VALUE"""),158.26)</f>
        <v>158.26</v>
      </c>
      <c r="F2289" s="1">
        <f>IFERROR(__xludf.DUMMYFUNCTION("""COMPUTED_VALUE"""),73235.0)</f>
        <v>73235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IFERROR(__xludf.DUMMYFUNCTION("""COMPUTED_VALUE"""),158.37)</f>
        <v>158.37</v>
      </c>
      <c r="C2290" s="1">
        <f>IFERROR(__xludf.DUMMYFUNCTION("""COMPUTED_VALUE"""),158.37)</f>
        <v>158.37</v>
      </c>
      <c r="D2290" s="1">
        <f>IFERROR(__xludf.DUMMYFUNCTION("""COMPUTED_VALUE"""),156.81)</f>
        <v>156.81</v>
      </c>
      <c r="E2290" s="1">
        <f>IFERROR(__xludf.DUMMYFUNCTION("""COMPUTED_VALUE"""),158.24)</f>
        <v>158.24</v>
      </c>
      <c r="F2290" s="1">
        <f>IFERROR(__xludf.DUMMYFUNCTION("""COMPUTED_VALUE"""),50952.0)</f>
        <v>50952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IFERROR(__xludf.DUMMYFUNCTION("""COMPUTED_VALUE"""),156.68)</f>
        <v>156.68</v>
      </c>
      <c r="C2291" s="1">
        <f>IFERROR(__xludf.DUMMYFUNCTION("""COMPUTED_VALUE"""),159.19)</f>
        <v>159.19</v>
      </c>
      <c r="D2291" s="1">
        <f>IFERROR(__xludf.DUMMYFUNCTION("""COMPUTED_VALUE"""),155.61)</f>
        <v>155.61</v>
      </c>
      <c r="E2291" s="1">
        <f>IFERROR(__xludf.DUMMYFUNCTION("""COMPUTED_VALUE"""),156.41)</f>
        <v>156.41</v>
      </c>
      <c r="F2291" s="1">
        <f>IFERROR(__xludf.DUMMYFUNCTION("""COMPUTED_VALUE"""),61396.0)</f>
        <v>61396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IFERROR(__xludf.DUMMYFUNCTION("""COMPUTED_VALUE"""),155.92)</f>
        <v>155.92</v>
      </c>
      <c r="C2292" s="1">
        <f>IFERROR(__xludf.DUMMYFUNCTION("""COMPUTED_VALUE"""),159.22)</f>
        <v>159.22</v>
      </c>
      <c r="D2292" s="1">
        <f>IFERROR(__xludf.DUMMYFUNCTION("""COMPUTED_VALUE"""),154.92)</f>
        <v>154.92</v>
      </c>
      <c r="E2292" s="1">
        <f>IFERROR(__xludf.DUMMYFUNCTION("""COMPUTED_VALUE"""),158.99)</f>
        <v>158.99</v>
      </c>
      <c r="F2292" s="1">
        <f>IFERROR(__xludf.DUMMYFUNCTION("""COMPUTED_VALUE"""),61978.0)</f>
        <v>61978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IFERROR(__xludf.DUMMYFUNCTION("""COMPUTED_VALUE"""),158.99)</f>
        <v>158.99</v>
      </c>
      <c r="C2293" s="1">
        <f>IFERROR(__xludf.DUMMYFUNCTION("""COMPUTED_VALUE"""),161.61)</f>
        <v>161.61</v>
      </c>
      <c r="D2293" s="1">
        <f>IFERROR(__xludf.DUMMYFUNCTION("""COMPUTED_VALUE"""),157.5)</f>
        <v>157.5</v>
      </c>
      <c r="E2293" s="1">
        <f>IFERROR(__xludf.DUMMYFUNCTION("""COMPUTED_VALUE"""),159.74)</f>
        <v>159.74</v>
      </c>
      <c r="F2293" s="1">
        <f>IFERROR(__xludf.DUMMYFUNCTION("""COMPUTED_VALUE"""),62202.0)</f>
        <v>62202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IFERROR(__xludf.DUMMYFUNCTION("""COMPUTED_VALUE"""),160.3)</f>
        <v>160.3</v>
      </c>
      <c r="C2294" s="1">
        <f>IFERROR(__xludf.DUMMYFUNCTION("""COMPUTED_VALUE"""),161.01)</f>
        <v>161.01</v>
      </c>
      <c r="D2294" s="1">
        <f>IFERROR(__xludf.DUMMYFUNCTION("""COMPUTED_VALUE"""),158.39)</f>
        <v>158.39</v>
      </c>
      <c r="E2294" s="1">
        <f>IFERROR(__xludf.DUMMYFUNCTION("""COMPUTED_VALUE"""),159.19)</f>
        <v>159.19</v>
      </c>
      <c r="F2294" s="1">
        <f>IFERROR(__xludf.DUMMYFUNCTION("""COMPUTED_VALUE"""),80771.0)</f>
        <v>80771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IFERROR(__xludf.DUMMYFUNCTION("""COMPUTED_VALUE"""),159.2)</f>
        <v>159.2</v>
      </c>
      <c r="C2295" s="1">
        <f>IFERROR(__xludf.DUMMYFUNCTION("""COMPUTED_VALUE"""),159.44)</f>
        <v>159.44</v>
      </c>
      <c r="D2295" s="1">
        <f>IFERROR(__xludf.DUMMYFUNCTION("""COMPUTED_VALUE"""),156.84)</f>
        <v>156.84</v>
      </c>
      <c r="E2295" s="1">
        <f>IFERROR(__xludf.DUMMYFUNCTION("""COMPUTED_VALUE"""),157.84)</f>
        <v>157.84</v>
      </c>
      <c r="F2295" s="1">
        <f>IFERROR(__xludf.DUMMYFUNCTION("""COMPUTED_VALUE"""),80031.0)</f>
        <v>80031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IFERROR(__xludf.DUMMYFUNCTION("""COMPUTED_VALUE"""),157.23)</f>
        <v>157.23</v>
      </c>
      <c r="C2296" s="1">
        <f>IFERROR(__xludf.DUMMYFUNCTION("""COMPUTED_VALUE"""),159.23)</f>
        <v>159.23</v>
      </c>
      <c r="D2296" s="1">
        <f>IFERROR(__xludf.DUMMYFUNCTION("""COMPUTED_VALUE"""),156.0)</f>
        <v>156</v>
      </c>
      <c r="E2296" s="1">
        <f>IFERROR(__xludf.DUMMYFUNCTION("""COMPUTED_VALUE"""),157.32)</f>
        <v>157.32</v>
      </c>
      <c r="F2296" s="1">
        <f>IFERROR(__xludf.DUMMYFUNCTION("""COMPUTED_VALUE"""),60465.0)</f>
        <v>60465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IFERROR(__xludf.DUMMYFUNCTION("""COMPUTED_VALUE"""),157.84)</f>
        <v>157.84</v>
      </c>
      <c r="C2297" s="1">
        <f>IFERROR(__xludf.DUMMYFUNCTION("""COMPUTED_VALUE"""),159.86)</f>
        <v>159.86</v>
      </c>
      <c r="D2297" s="1">
        <f>IFERROR(__xludf.DUMMYFUNCTION("""COMPUTED_VALUE"""),156.3)</f>
        <v>156.3</v>
      </c>
      <c r="E2297" s="1">
        <f>IFERROR(__xludf.DUMMYFUNCTION("""COMPUTED_VALUE"""),156.98)</f>
        <v>156.98</v>
      </c>
      <c r="F2297" s="1">
        <f>IFERROR(__xludf.DUMMYFUNCTION("""COMPUTED_VALUE"""),97453.0)</f>
        <v>97453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IFERROR(__xludf.DUMMYFUNCTION("""COMPUTED_VALUE"""),156.92)</f>
        <v>156.92</v>
      </c>
      <c r="C2298" s="1">
        <f>IFERROR(__xludf.DUMMYFUNCTION("""COMPUTED_VALUE"""),158.39)</f>
        <v>158.39</v>
      </c>
      <c r="D2298" s="1">
        <f>IFERROR(__xludf.DUMMYFUNCTION("""COMPUTED_VALUE"""),156.49)</f>
        <v>156.49</v>
      </c>
      <c r="E2298" s="1">
        <f>IFERROR(__xludf.DUMMYFUNCTION("""COMPUTED_VALUE"""),156.92)</f>
        <v>156.92</v>
      </c>
      <c r="F2298" s="1">
        <f>IFERROR(__xludf.DUMMYFUNCTION("""COMPUTED_VALUE"""),82116.0)</f>
        <v>82116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IFERROR(__xludf.DUMMYFUNCTION("""COMPUTED_VALUE"""),156.63)</f>
        <v>156.63</v>
      </c>
      <c r="C2299" s="1">
        <f>IFERROR(__xludf.DUMMYFUNCTION("""COMPUTED_VALUE"""),157.87)</f>
        <v>157.87</v>
      </c>
      <c r="D2299" s="1">
        <f>IFERROR(__xludf.DUMMYFUNCTION("""COMPUTED_VALUE"""),156.08)</f>
        <v>156.08</v>
      </c>
      <c r="E2299" s="1">
        <f>IFERROR(__xludf.DUMMYFUNCTION("""COMPUTED_VALUE"""),156.74)</f>
        <v>156.74</v>
      </c>
      <c r="F2299" s="1">
        <f>IFERROR(__xludf.DUMMYFUNCTION("""COMPUTED_VALUE"""),80699.0)</f>
        <v>80699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IFERROR(__xludf.DUMMYFUNCTION("""COMPUTED_VALUE"""),156.66)</f>
        <v>156.66</v>
      </c>
      <c r="C2300" s="1">
        <f>IFERROR(__xludf.DUMMYFUNCTION("""COMPUTED_VALUE"""),157.81)</f>
        <v>157.81</v>
      </c>
      <c r="D2300" s="1">
        <f>IFERROR(__xludf.DUMMYFUNCTION("""COMPUTED_VALUE"""),155.9)</f>
        <v>155.9</v>
      </c>
      <c r="E2300" s="1">
        <f>IFERROR(__xludf.DUMMYFUNCTION("""COMPUTED_VALUE"""),156.69)</f>
        <v>156.69</v>
      </c>
      <c r="F2300" s="1">
        <f>IFERROR(__xludf.DUMMYFUNCTION("""COMPUTED_VALUE"""),77652.0)</f>
        <v>77652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IFERROR(__xludf.DUMMYFUNCTION("""COMPUTED_VALUE"""),156.29)</f>
        <v>156.29</v>
      </c>
      <c r="C2301" s="1">
        <f>IFERROR(__xludf.DUMMYFUNCTION("""COMPUTED_VALUE"""),156.71)</f>
        <v>156.71</v>
      </c>
      <c r="D2301" s="1">
        <f>IFERROR(__xludf.DUMMYFUNCTION("""COMPUTED_VALUE"""),155.5)</f>
        <v>155.5</v>
      </c>
      <c r="E2301" s="1">
        <f>IFERROR(__xludf.DUMMYFUNCTION("""COMPUTED_VALUE"""),156.07)</f>
        <v>156.07</v>
      </c>
      <c r="F2301" s="1">
        <f>IFERROR(__xludf.DUMMYFUNCTION("""COMPUTED_VALUE"""),86510.0)</f>
        <v>86510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IFERROR(__xludf.DUMMYFUNCTION("""COMPUTED_VALUE"""),156.34)</f>
        <v>156.34</v>
      </c>
      <c r="C2302" s="1">
        <f>IFERROR(__xludf.DUMMYFUNCTION("""COMPUTED_VALUE"""),156.34)</f>
        <v>156.34</v>
      </c>
      <c r="D2302" s="1">
        <f>IFERROR(__xludf.DUMMYFUNCTION("""COMPUTED_VALUE"""),152.87)</f>
        <v>152.87</v>
      </c>
      <c r="E2302" s="1">
        <f>IFERROR(__xludf.DUMMYFUNCTION("""COMPUTED_VALUE"""),154.33)</f>
        <v>154.33</v>
      </c>
      <c r="F2302" s="1">
        <f>IFERROR(__xludf.DUMMYFUNCTION("""COMPUTED_VALUE"""),76689.0)</f>
        <v>76689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IFERROR(__xludf.DUMMYFUNCTION("""COMPUTED_VALUE"""),154.65)</f>
        <v>154.65</v>
      </c>
      <c r="C2303" s="1">
        <f>IFERROR(__xludf.DUMMYFUNCTION("""COMPUTED_VALUE"""),154.72)</f>
        <v>154.72</v>
      </c>
      <c r="D2303" s="1">
        <f>IFERROR(__xludf.DUMMYFUNCTION("""COMPUTED_VALUE"""),149.24)</f>
        <v>149.24</v>
      </c>
      <c r="E2303" s="1">
        <f>IFERROR(__xludf.DUMMYFUNCTION("""COMPUTED_VALUE"""),152.69)</f>
        <v>152.69</v>
      </c>
      <c r="F2303" s="1">
        <f>IFERROR(__xludf.DUMMYFUNCTION("""COMPUTED_VALUE"""),59728.0)</f>
        <v>59728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IFERROR(__xludf.DUMMYFUNCTION("""COMPUTED_VALUE"""),152.61)</f>
        <v>152.61</v>
      </c>
      <c r="C2304" s="1">
        <f>IFERROR(__xludf.DUMMYFUNCTION("""COMPUTED_VALUE"""),153.14)</f>
        <v>153.14</v>
      </c>
      <c r="D2304" s="1">
        <f>IFERROR(__xludf.DUMMYFUNCTION("""COMPUTED_VALUE"""),151.38)</f>
        <v>151.38</v>
      </c>
      <c r="E2304" s="1">
        <f>IFERROR(__xludf.DUMMYFUNCTION("""COMPUTED_VALUE"""),152.74)</f>
        <v>152.74</v>
      </c>
      <c r="F2304" s="1">
        <f>IFERROR(__xludf.DUMMYFUNCTION("""COMPUTED_VALUE"""),65252.0)</f>
        <v>65252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IFERROR(__xludf.DUMMYFUNCTION("""COMPUTED_VALUE"""),153.12)</f>
        <v>153.12</v>
      </c>
      <c r="C2305" s="1">
        <f>IFERROR(__xludf.DUMMYFUNCTION("""COMPUTED_VALUE"""),156.45)</f>
        <v>156.45</v>
      </c>
      <c r="D2305" s="1">
        <f>IFERROR(__xludf.DUMMYFUNCTION("""COMPUTED_VALUE"""),151.91)</f>
        <v>151.91</v>
      </c>
      <c r="E2305" s="1">
        <f>IFERROR(__xludf.DUMMYFUNCTION("""COMPUTED_VALUE"""),155.28)</f>
        <v>155.28</v>
      </c>
      <c r="F2305" s="1">
        <f>IFERROR(__xludf.DUMMYFUNCTION("""COMPUTED_VALUE"""),57748.0)</f>
        <v>57748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IFERROR(__xludf.DUMMYFUNCTION("""COMPUTED_VALUE"""),155.65)</f>
        <v>155.65</v>
      </c>
      <c r="C2306" s="1">
        <f>IFERROR(__xludf.DUMMYFUNCTION("""COMPUTED_VALUE"""),158.45)</f>
        <v>158.45</v>
      </c>
      <c r="D2306" s="1">
        <f>IFERROR(__xludf.DUMMYFUNCTION("""COMPUTED_VALUE"""),153.65)</f>
        <v>153.65</v>
      </c>
      <c r="E2306" s="1">
        <f>IFERROR(__xludf.DUMMYFUNCTION("""COMPUTED_VALUE"""),155.64)</f>
        <v>155.64</v>
      </c>
      <c r="F2306" s="1">
        <f>IFERROR(__xludf.DUMMYFUNCTION("""COMPUTED_VALUE"""),51752.0)</f>
        <v>51752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IFERROR(__xludf.DUMMYFUNCTION("""COMPUTED_VALUE"""),155.65)</f>
        <v>155.65</v>
      </c>
      <c r="C2307" s="1">
        <f>IFERROR(__xludf.DUMMYFUNCTION("""COMPUTED_VALUE"""),155.65)</f>
        <v>155.65</v>
      </c>
      <c r="D2307" s="1">
        <f>IFERROR(__xludf.DUMMYFUNCTION("""COMPUTED_VALUE"""),153.56)</f>
        <v>153.56</v>
      </c>
      <c r="E2307" s="1">
        <f>IFERROR(__xludf.DUMMYFUNCTION("""COMPUTED_VALUE"""),155.04)</f>
        <v>155.04</v>
      </c>
      <c r="F2307" s="1">
        <f>IFERROR(__xludf.DUMMYFUNCTION("""COMPUTED_VALUE"""),41370.0)</f>
        <v>41370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IFERROR(__xludf.DUMMYFUNCTION("""COMPUTED_VALUE"""),154.97)</f>
        <v>154.97</v>
      </c>
      <c r="C2308" s="1">
        <f>IFERROR(__xludf.DUMMYFUNCTION("""COMPUTED_VALUE"""),156.42)</f>
        <v>156.42</v>
      </c>
      <c r="D2308" s="1">
        <f>IFERROR(__xludf.DUMMYFUNCTION("""COMPUTED_VALUE"""),154.58)</f>
        <v>154.58</v>
      </c>
      <c r="E2308" s="1">
        <f>IFERROR(__xludf.DUMMYFUNCTION("""COMPUTED_VALUE"""),155.71)</f>
        <v>155.71</v>
      </c>
      <c r="F2308" s="1">
        <f>IFERROR(__xludf.DUMMYFUNCTION("""COMPUTED_VALUE"""),47240.0)</f>
        <v>47240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IFERROR(__xludf.DUMMYFUNCTION("""COMPUTED_VALUE"""),155.92)</f>
        <v>155.92</v>
      </c>
      <c r="C2309" s="1">
        <f>IFERROR(__xludf.DUMMYFUNCTION("""COMPUTED_VALUE"""),156.0)</f>
        <v>156</v>
      </c>
      <c r="D2309" s="1">
        <f>IFERROR(__xludf.DUMMYFUNCTION("""COMPUTED_VALUE"""),152.29)</f>
        <v>152.29</v>
      </c>
      <c r="E2309" s="1">
        <f>IFERROR(__xludf.DUMMYFUNCTION("""COMPUTED_VALUE"""),152.74)</f>
        <v>152.74</v>
      </c>
      <c r="F2309" s="1">
        <f>IFERROR(__xludf.DUMMYFUNCTION("""COMPUTED_VALUE"""),79706.0)</f>
        <v>79706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IFERROR(__xludf.DUMMYFUNCTION("""COMPUTED_VALUE"""),152.73)</f>
        <v>152.73</v>
      </c>
      <c r="C2310" s="1">
        <f>IFERROR(__xludf.DUMMYFUNCTION("""COMPUTED_VALUE"""),154.35)</f>
        <v>154.35</v>
      </c>
      <c r="D2310" s="1">
        <f>IFERROR(__xludf.DUMMYFUNCTION("""COMPUTED_VALUE"""),151.6)</f>
        <v>151.6</v>
      </c>
      <c r="E2310" s="1">
        <f>IFERROR(__xludf.DUMMYFUNCTION("""COMPUTED_VALUE"""),152.0)</f>
        <v>152</v>
      </c>
      <c r="F2310" s="1">
        <f>IFERROR(__xludf.DUMMYFUNCTION("""COMPUTED_VALUE"""),31592.0)</f>
        <v>31592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IFERROR(__xludf.DUMMYFUNCTION("""COMPUTED_VALUE"""),152.04)</f>
        <v>152.04</v>
      </c>
      <c r="C2311" s="1">
        <f>IFERROR(__xludf.DUMMYFUNCTION("""COMPUTED_VALUE"""),152.75)</f>
        <v>152.75</v>
      </c>
      <c r="D2311" s="1">
        <f>IFERROR(__xludf.DUMMYFUNCTION("""COMPUTED_VALUE"""),151.15)</f>
        <v>151.15</v>
      </c>
      <c r="E2311" s="1">
        <f>IFERROR(__xludf.DUMMYFUNCTION("""COMPUTED_VALUE"""),151.69)</f>
        <v>151.69</v>
      </c>
      <c r="F2311" s="1">
        <f>IFERROR(__xludf.DUMMYFUNCTION("""COMPUTED_VALUE"""),43987.0)</f>
        <v>43987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IFERROR(__xludf.DUMMYFUNCTION("""COMPUTED_VALUE"""),151.78)</f>
        <v>151.78</v>
      </c>
      <c r="C2312" s="1">
        <f>IFERROR(__xludf.DUMMYFUNCTION("""COMPUTED_VALUE"""),154.52)</f>
        <v>154.52</v>
      </c>
      <c r="D2312" s="1">
        <f>IFERROR(__xludf.DUMMYFUNCTION("""COMPUTED_VALUE"""),150.77)</f>
        <v>150.77</v>
      </c>
      <c r="E2312" s="1">
        <f>IFERROR(__xludf.DUMMYFUNCTION("""COMPUTED_VALUE"""),154.07)</f>
        <v>154.07</v>
      </c>
      <c r="F2312" s="1">
        <f>IFERROR(__xludf.DUMMYFUNCTION("""COMPUTED_VALUE"""),44279.0)</f>
        <v>44279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IFERROR(__xludf.DUMMYFUNCTION("""COMPUTED_VALUE"""),154.0)</f>
        <v>154</v>
      </c>
      <c r="C2313" s="1">
        <f>IFERROR(__xludf.DUMMYFUNCTION("""COMPUTED_VALUE"""),154.0)</f>
        <v>154</v>
      </c>
      <c r="D2313" s="1">
        <f>IFERROR(__xludf.DUMMYFUNCTION("""COMPUTED_VALUE"""),151.11)</f>
        <v>151.11</v>
      </c>
      <c r="E2313" s="1">
        <f>IFERROR(__xludf.DUMMYFUNCTION("""COMPUTED_VALUE"""),151.84)</f>
        <v>151.84</v>
      </c>
      <c r="F2313" s="1">
        <f>IFERROR(__xludf.DUMMYFUNCTION("""COMPUTED_VALUE"""),60997.0)</f>
        <v>60997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IFERROR(__xludf.DUMMYFUNCTION("""COMPUTED_VALUE"""),151.88)</f>
        <v>151.88</v>
      </c>
      <c r="C2314" s="1">
        <f>IFERROR(__xludf.DUMMYFUNCTION("""COMPUTED_VALUE"""),152.89)</f>
        <v>152.89</v>
      </c>
      <c r="D2314" s="1">
        <f>IFERROR(__xludf.DUMMYFUNCTION("""COMPUTED_VALUE"""),150.95)</f>
        <v>150.95</v>
      </c>
      <c r="E2314" s="1">
        <f>IFERROR(__xludf.DUMMYFUNCTION("""COMPUTED_VALUE"""),151.2)</f>
        <v>151.2</v>
      </c>
      <c r="F2314" s="1">
        <f>IFERROR(__xludf.DUMMYFUNCTION("""COMPUTED_VALUE"""),45897.0)</f>
        <v>45897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IFERROR(__xludf.DUMMYFUNCTION("""COMPUTED_VALUE"""),151.28)</f>
        <v>151.28</v>
      </c>
      <c r="C2315" s="1">
        <f>IFERROR(__xludf.DUMMYFUNCTION("""COMPUTED_VALUE"""),152.15)</f>
        <v>152.15</v>
      </c>
      <c r="D2315" s="1">
        <f>IFERROR(__xludf.DUMMYFUNCTION("""COMPUTED_VALUE"""),149.99)</f>
        <v>149.99</v>
      </c>
      <c r="E2315" s="1">
        <f>IFERROR(__xludf.DUMMYFUNCTION("""COMPUTED_VALUE"""),150.31)</f>
        <v>150.31</v>
      </c>
      <c r="F2315" s="1">
        <f>IFERROR(__xludf.DUMMYFUNCTION("""COMPUTED_VALUE"""),40051.0)</f>
        <v>40051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IFERROR(__xludf.DUMMYFUNCTION("""COMPUTED_VALUE"""),150.15)</f>
        <v>150.15</v>
      </c>
      <c r="C2316" s="1">
        <f>IFERROR(__xludf.DUMMYFUNCTION("""COMPUTED_VALUE"""),153.36)</f>
        <v>153.36</v>
      </c>
      <c r="D2316" s="1">
        <f>IFERROR(__xludf.DUMMYFUNCTION("""COMPUTED_VALUE"""),149.71)</f>
        <v>149.71</v>
      </c>
      <c r="E2316" s="1">
        <f>IFERROR(__xludf.DUMMYFUNCTION("""COMPUTED_VALUE"""),151.64)</f>
        <v>151.64</v>
      </c>
      <c r="F2316" s="1">
        <f>IFERROR(__xludf.DUMMYFUNCTION("""COMPUTED_VALUE"""),128461.0)</f>
        <v>128461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IFERROR(__xludf.DUMMYFUNCTION("""COMPUTED_VALUE"""),152.03)</f>
        <v>152.03</v>
      </c>
      <c r="C2317" s="1">
        <f>IFERROR(__xludf.DUMMYFUNCTION("""COMPUTED_VALUE"""),153.43)</f>
        <v>153.43</v>
      </c>
      <c r="D2317" s="1">
        <f>IFERROR(__xludf.DUMMYFUNCTION("""COMPUTED_VALUE"""),150.99)</f>
        <v>150.99</v>
      </c>
      <c r="E2317" s="1">
        <f>IFERROR(__xludf.DUMMYFUNCTION("""COMPUTED_VALUE"""),152.7)</f>
        <v>152.7</v>
      </c>
      <c r="F2317" s="1">
        <f>IFERROR(__xludf.DUMMYFUNCTION("""COMPUTED_VALUE"""),48317.0)</f>
        <v>48317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IFERROR(__xludf.DUMMYFUNCTION("""COMPUTED_VALUE"""),152.59)</f>
        <v>152.59</v>
      </c>
      <c r="C2318" s="1">
        <f>IFERROR(__xludf.DUMMYFUNCTION("""COMPUTED_VALUE"""),153.13)</f>
        <v>153.13</v>
      </c>
      <c r="D2318" s="1">
        <f>IFERROR(__xludf.DUMMYFUNCTION("""COMPUTED_VALUE"""),151.38)</f>
        <v>151.38</v>
      </c>
      <c r="E2318" s="1">
        <f>IFERROR(__xludf.DUMMYFUNCTION("""COMPUTED_VALUE"""),152.39)</f>
        <v>152.39</v>
      </c>
      <c r="F2318" s="1">
        <f>IFERROR(__xludf.DUMMYFUNCTION("""COMPUTED_VALUE"""),61813.0)</f>
        <v>61813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IFERROR(__xludf.DUMMYFUNCTION("""COMPUTED_VALUE"""),152.61)</f>
        <v>152.61</v>
      </c>
      <c r="C2319" s="1">
        <f>IFERROR(__xludf.DUMMYFUNCTION("""COMPUTED_VALUE"""),156.75)</f>
        <v>156.75</v>
      </c>
      <c r="D2319" s="1">
        <f>IFERROR(__xludf.DUMMYFUNCTION("""COMPUTED_VALUE"""),151.74)</f>
        <v>151.74</v>
      </c>
      <c r="E2319" s="1">
        <f>IFERROR(__xludf.DUMMYFUNCTION("""COMPUTED_VALUE"""),153.54)</f>
        <v>153.54</v>
      </c>
      <c r="F2319" s="1">
        <f>IFERROR(__xludf.DUMMYFUNCTION("""COMPUTED_VALUE"""),99634.0)</f>
        <v>99634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IFERROR(__xludf.DUMMYFUNCTION("""COMPUTED_VALUE"""),153.14)</f>
        <v>153.14</v>
      </c>
      <c r="C2320" s="1">
        <f>IFERROR(__xludf.DUMMYFUNCTION("""COMPUTED_VALUE"""),156.67)</f>
        <v>156.67</v>
      </c>
      <c r="D2320" s="1">
        <f>IFERROR(__xludf.DUMMYFUNCTION("""COMPUTED_VALUE"""),153.14)</f>
        <v>153.14</v>
      </c>
      <c r="E2320" s="1">
        <f>IFERROR(__xludf.DUMMYFUNCTION("""COMPUTED_VALUE"""),155.98)</f>
        <v>155.98</v>
      </c>
      <c r="F2320" s="1">
        <f>IFERROR(__xludf.DUMMYFUNCTION("""COMPUTED_VALUE"""),80446.0)</f>
        <v>80446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IFERROR(__xludf.DUMMYFUNCTION("""COMPUTED_VALUE"""),155.28)</f>
        <v>155.28</v>
      </c>
      <c r="C2321" s="1">
        <f>IFERROR(__xludf.DUMMYFUNCTION("""COMPUTED_VALUE"""),157.0)</f>
        <v>157</v>
      </c>
      <c r="D2321" s="1">
        <f>IFERROR(__xludf.DUMMYFUNCTION("""COMPUTED_VALUE"""),154.53)</f>
        <v>154.53</v>
      </c>
      <c r="E2321" s="1">
        <f>IFERROR(__xludf.DUMMYFUNCTION("""COMPUTED_VALUE"""),154.63)</f>
        <v>154.63</v>
      </c>
      <c r="F2321" s="1">
        <f>IFERROR(__xludf.DUMMYFUNCTION("""COMPUTED_VALUE"""),73166.0)</f>
        <v>73166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IFERROR(__xludf.DUMMYFUNCTION("""COMPUTED_VALUE"""),154.24)</f>
        <v>154.24</v>
      </c>
      <c r="C2322" s="1">
        <f>IFERROR(__xludf.DUMMYFUNCTION("""COMPUTED_VALUE"""),158.01)</f>
        <v>158.01</v>
      </c>
      <c r="D2322" s="1">
        <f>IFERROR(__xludf.DUMMYFUNCTION("""COMPUTED_VALUE"""),152.92)</f>
        <v>152.92</v>
      </c>
      <c r="E2322" s="1">
        <f>IFERROR(__xludf.DUMMYFUNCTION("""COMPUTED_VALUE"""),156.95)</f>
        <v>156.95</v>
      </c>
      <c r="F2322" s="1">
        <f>IFERROR(__xludf.DUMMYFUNCTION("""COMPUTED_VALUE"""),78409.0)</f>
        <v>78409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IFERROR(__xludf.DUMMYFUNCTION("""COMPUTED_VALUE"""),157.14)</f>
        <v>157.14</v>
      </c>
      <c r="C2323" s="1">
        <f>IFERROR(__xludf.DUMMYFUNCTION("""COMPUTED_VALUE"""),159.56)</f>
        <v>159.56</v>
      </c>
      <c r="D2323" s="1">
        <f>IFERROR(__xludf.DUMMYFUNCTION("""COMPUTED_VALUE"""),156.74)</f>
        <v>156.74</v>
      </c>
      <c r="E2323" s="1">
        <f>IFERROR(__xludf.DUMMYFUNCTION("""COMPUTED_VALUE"""),158.97)</f>
        <v>158.97</v>
      </c>
      <c r="F2323" s="1">
        <f>IFERROR(__xludf.DUMMYFUNCTION("""COMPUTED_VALUE"""),68662.0)</f>
        <v>68662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IFERROR(__xludf.DUMMYFUNCTION("""COMPUTED_VALUE"""),158.97)</f>
        <v>158.97</v>
      </c>
      <c r="C2324" s="1">
        <f>IFERROR(__xludf.DUMMYFUNCTION("""COMPUTED_VALUE"""),159.41)</f>
        <v>159.41</v>
      </c>
      <c r="D2324" s="1">
        <f>IFERROR(__xludf.DUMMYFUNCTION("""COMPUTED_VALUE"""),155.9)</f>
        <v>155.9</v>
      </c>
      <c r="E2324" s="1">
        <f>IFERROR(__xludf.DUMMYFUNCTION("""COMPUTED_VALUE"""),158.71)</f>
        <v>158.71</v>
      </c>
      <c r="F2324" s="1">
        <f>IFERROR(__xludf.DUMMYFUNCTION("""COMPUTED_VALUE"""),61343.0)</f>
        <v>61343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IFERROR(__xludf.DUMMYFUNCTION("""COMPUTED_VALUE"""),159.01)</f>
        <v>159.01</v>
      </c>
      <c r="C2325" s="1">
        <f>IFERROR(__xludf.DUMMYFUNCTION("""COMPUTED_VALUE"""),160.27)</f>
        <v>160.27</v>
      </c>
      <c r="D2325" s="1">
        <f>IFERROR(__xludf.DUMMYFUNCTION("""COMPUTED_VALUE"""),157.99)</f>
        <v>157.99</v>
      </c>
      <c r="E2325" s="1">
        <f>IFERROR(__xludf.DUMMYFUNCTION("""COMPUTED_VALUE"""),159.37)</f>
        <v>159.37</v>
      </c>
      <c r="F2325" s="1">
        <f>IFERROR(__xludf.DUMMYFUNCTION("""COMPUTED_VALUE"""),37457.0)</f>
        <v>37457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IFERROR(__xludf.DUMMYFUNCTION("""COMPUTED_VALUE"""),159.71)</f>
        <v>159.71</v>
      </c>
      <c r="C2326" s="1">
        <f>IFERROR(__xludf.DUMMYFUNCTION("""COMPUTED_VALUE"""),160.71)</f>
        <v>160.71</v>
      </c>
      <c r="D2326" s="1">
        <f>IFERROR(__xludf.DUMMYFUNCTION("""COMPUTED_VALUE"""),156.03)</f>
        <v>156.03</v>
      </c>
      <c r="E2326" s="1">
        <f>IFERROR(__xludf.DUMMYFUNCTION("""COMPUTED_VALUE"""),158.84)</f>
        <v>158.84</v>
      </c>
      <c r="F2326" s="1">
        <f>IFERROR(__xludf.DUMMYFUNCTION("""COMPUTED_VALUE"""),97011.0)</f>
        <v>97011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IFERROR(__xludf.DUMMYFUNCTION("""COMPUTED_VALUE"""),159.19)</f>
        <v>159.19</v>
      </c>
      <c r="C2327" s="1">
        <f>IFERROR(__xludf.DUMMYFUNCTION("""COMPUTED_VALUE"""),159.62)</f>
        <v>159.62</v>
      </c>
      <c r="D2327" s="1">
        <f>IFERROR(__xludf.DUMMYFUNCTION("""COMPUTED_VALUE"""),150.61)</f>
        <v>150.61</v>
      </c>
      <c r="E2327" s="1">
        <f>IFERROR(__xludf.DUMMYFUNCTION("""COMPUTED_VALUE"""),152.7)</f>
        <v>152.7</v>
      </c>
      <c r="F2327" s="1">
        <f>IFERROR(__xludf.DUMMYFUNCTION("""COMPUTED_VALUE"""),180109.0)</f>
        <v>180109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IFERROR(__xludf.DUMMYFUNCTION("""COMPUTED_VALUE"""),153.13)</f>
        <v>153.13</v>
      </c>
      <c r="C2328" s="1">
        <f>IFERROR(__xludf.DUMMYFUNCTION("""COMPUTED_VALUE"""),153.71)</f>
        <v>153.71</v>
      </c>
      <c r="D2328" s="1">
        <f>IFERROR(__xludf.DUMMYFUNCTION("""COMPUTED_VALUE"""),151.08)</f>
        <v>151.08</v>
      </c>
      <c r="E2328" s="1">
        <f>IFERROR(__xludf.DUMMYFUNCTION("""COMPUTED_VALUE"""),152.5)</f>
        <v>152.5</v>
      </c>
      <c r="F2328" s="1">
        <f>IFERROR(__xludf.DUMMYFUNCTION("""COMPUTED_VALUE"""),65169.0)</f>
        <v>65169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IFERROR(__xludf.DUMMYFUNCTION("""COMPUTED_VALUE"""),152.87)</f>
        <v>152.87</v>
      </c>
      <c r="C2329" s="1">
        <f>IFERROR(__xludf.DUMMYFUNCTION("""COMPUTED_VALUE"""),153.45)</f>
        <v>153.45</v>
      </c>
      <c r="D2329" s="1">
        <f>IFERROR(__xludf.DUMMYFUNCTION("""COMPUTED_VALUE"""),151.49)</f>
        <v>151.49</v>
      </c>
      <c r="E2329" s="1">
        <f>IFERROR(__xludf.DUMMYFUNCTION("""COMPUTED_VALUE"""),153.03)</f>
        <v>153.03</v>
      </c>
      <c r="F2329" s="1">
        <f>IFERROR(__xludf.DUMMYFUNCTION("""COMPUTED_VALUE"""),46912.0)</f>
        <v>46912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IFERROR(__xludf.DUMMYFUNCTION("""COMPUTED_VALUE"""),153.33)</f>
        <v>153.33</v>
      </c>
      <c r="C2330" s="1">
        <f>IFERROR(__xludf.DUMMYFUNCTION("""COMPUTED_VALUE"""),153.54)</f>
        <v>153.54</v>
      </c>
      <c r="D2330" s="1">
        <f>IFERROR(__xludf.DUMMYFUNCTION("""COMPUTED_VALUE"""),151.64)</f>
        <v>151.64</v>
      </c>
      <c r="E2330" s="1">
        <f>IFERROR(__xludf.DUMMYFUNCTION("""COMPUTED_VALUE"""),153.54)</f>
        <v>153.54</v>
      </c>
      <c r="F2330" s="1">
        <f>IFERROR(__xludf.DUMMYFUNCTION("""COMPUTED_VALUE"""),37593.0)</f>
        <v>37593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IFERROR(__xludf.DUMMYFUNCTION("""COMPUTED_VALUE"""),153.29)</f>
        <v>153.29</v>
      </c>
      <c r="C2331" s="1">
        <f>IFERROR(__xludf.DUMMYFUNCTION("""COMPUTED_VALUE"""),155.95)</f>
        <v>155.95</v>
      </c>
      <c r="D2331" s="1">
        <f>IFERROR(__xludf.DUMMYFUNCTION("""COMPUTED_VALUE"""),153.28)</f>
        <v>153.28</v>
      </c>
      <c r="E2331" s="1">
        <f>IFERROR(__xludf.DUMMYFUNCTION("""COMPUTED_VALUE"""),154.93)</f>
        <v>154.93</v>
      </c>
      <c r="F2331" s="1">
        <f>IFERROR(__xludf.DUMMYFUNCTION("""COMPUTED_VALUE"""),74558.0)</f>
        <v>74558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IFERROR(__xludf.DUMMYFUNCTION("""COMPUTED_VALUE"""),154.16)</f>
        <v>154.16</v>
      </c>
      <c r="C2332" s="1">
        <f>IFERROR(__xludf.DUMMYFUNCTION("""COMPUTED_VALUE"""),155.38)</f>
        <v>155.38</v>
      </c>
      <c r="D2332" s="1">
        <f>IFERROR(__xludf.DUMMYFUNCTION("""COMPUTED_VALUE"""),153.21)</f>
        <v>153.21</v>
      </c>
      <c r="E2332" s="1">
        <f>IFERROR(__xludf.DUMMYFUNCTION("""COMPUTED_VALUE"""),154.62)</f>
        <v>154.62</v>
      </c>
      <c r="F2332" s="1">
        <f>IFERROR(__xludf.DUMMYFUNCTION("""COMPUTED_VALUE"""),51696.0)</f>
        <v>51696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IFERROR(__xludf.DUMMYFUNCTION("""COMPUTED_VALUE"""),154.37)</f>
        <v>154.37</v>
      </c>
      <c r="C2333" s="1">
        <f>IFERROR(__xludf.DUMMYFUNCTION("""COMPUTED_VALUE"""),155.48)</f>
        <v>155.48</v>
      </c>
      <c r="D2333" s="1">
        <f>IFERROR(__xludf.DUMMYFUNCTION("""COMPUTED_VALUE"""),152.51)</f>
        <v>152.51</v>
      </c>
      <c r="E2333" s="1">
        <f>IFERROR(__xludf.DUMMYFUNCTION("""COMPUTED_VALUE"""),152.82)</f>
        <v>152.82</v>
      </c>
      <c r="F2333" s="1">
        <f>IFERROR(__xludf.DUMMYFUNCTION("""COMPUTED_VALUE"""),64454.0)</f>
        <v>64454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IFERROR(__xludf.DUMMYFUNCTION("""COMPUTED_VALUE"""),153.18)</f>
        <v>153.18</v>
      </c>
      <c r="C2334" s="1">
        <f>IFERROR(__xludf.DUMMYFUNCTION("""COMPUTED_VALUE"""),156.39)</f>
        <v>156.39</v>
      </c>
      <c r="D2334" s="1">
        <f>IFERROR(__xludf.DUMMYFUNCTION("""COMPUTED_VALUE"""),152.7)</f>
        <v>152.7</v>
      </c>
      <c r="E2334" s="1">
        <f>IFERROR(__xludf.DUMMYFUNCTION("""COMPUTED_VALUE"""),155.64)</f>
        <v>155.64</v>
      </c>
      <c r="F2334" s="1">
        <f>IFERROR(__xludf.DUMMYFUNCTION("""COMPUTED_VALUE"""),63261.0)</f>
        <v>63261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IFERROR(__xludf.DUMMYFUNCTION("""COMPUTED_VALUE"""),155.49)</f>
        <v>155.49</v>
      </c>
      <c r="C2335" s="1">
        <f>IFERROR(__xludf.DUMMYFUNCTION("""COMPUTED_VALUE"""),156.96)</f>
        <v>156.96</v>
      </c>
      <c r="D2335" s="1">
        <f>IFERROR(__xludf.DUMMYFUNCTION("""COMPUTED_VALUE"""),152.87)</f>
        <v>152.87</v>
      </c>
      <c r="E2335" s="1">
        <f>IFERROR(__xludf.DUMMYFUNCTION("""COMPUTED_VALUE"""),154.42)</f>
        <v>154.42</v>
      </c>
      <c r="F2335" s="1">
        <f>IFERROR(__xludf.DUMMYFUNCTION("""COMPUTED_VALUE"""),49636.0)</f>
        <v>49636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IFERROR(__xludf.DUMMYFUNCTION("""COMPUTED_VALUE"""),154.92)</f>
        <v>154.92</v>
      </c>
      <c r="C2336" s="1">
        <f>IFERROR(__xludf.DUMMYFUNCTION("""COMPUTED_VALUE"""),158.0)</f>
        <v>158</v>
      </c>
      <c r="D2336" s="1">
        <f>IFERROR(__xludf.DUMMYFUNCTION("""COMPUTED_VALUE"""),154.04)</f>
        <v>154.04</v>
      </c>
      <c r="E2336" s="1">
        <f>IFERROR(__xludf.DUMMYFUNCTION("""COMPUTED_VALUE"""),155.08)</f>
        <v>155.08</v>
      </c>
      <c r="F2336" s="1">
        <f>IFERROR(__xludf.DUMMYFUNCTION("""COMPUTED_VALUE"""),43729.0)</f>
        <v>43729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IFERROR(__xludf.DUMMYFUNCTION("""COMPUTED_VALUE"""),154.95)</f>
        <v>154.95</v>
      </c>
      <c r="C2337" s="1">
        <f>IFERROR(__xludf.DUMMYFUNCTION("""COMPUTED_VALUE"""),157.34)</f>
        <v>157.34</v>
      </c>
      <c r="D2337" s="1">
        <f>IFERROR(__xludf.DUMMYFUNCTION("""COMPUTED_VALUE"""),154.62)</f>
        <v>154.62</v>
      </c>
      <c r="E2337" s="1">
        <f>IFERROR(__xludf.DUMMYFUNCTION("""COMPUTED_VALUE"""),155.86)</f>
        <v>155.86</v>
      </c>
      <c r="F2337" s="1">
        <f>IFERROR(__xludf.DUMMYFUNCTION("""COMPUTED_VALUE"""),49177.0)</f>
        <v>49177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IFERROR(__xludf.DUMMYFUNCTION("""COMPUTED_VALUE"""),156.28)</f>
        <v>156.28</v>
      </c>
      <c r="C2338" s="1">
        <f>IFERROR(__xludf.DUMMYFUNCTION("""COMPUTED_VALUE"""),156.95)</f>
        <v>156.95</v>
      </c>
      <c r="D2338" s="1">
        <f>IFERROR(__xludf.DUMMYFUNCTION("""COMPUTED_VALUE"""),155.25)</f>
        <v>155.25</v>
      </c>
      <c r="E2338" s="1">
        <f>IFERROR(__xludf.DUMMYFUNCTION("""COMPUTED_VALUE"""),155.88)</f>
        <v>155.88</v>
      </c>
      <c r="F2338" s="1">
        <f>IFERROR(__xludf.DUMMYFUNCTION("""COMPUTED_VALUE"""),50916.0)</f>
        <v>50916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IFERROR(__xludf.DUMMYFUNCTION("""COMPUTED_VALUE"""),156.25)</f>
        <v>156.25</v>
      </c>
      <c r="C2339" s="1">
        <f>IFERROR(__xludf.DUMMYFUNCTION("""COMPUTED_VALUE"""),156.8)</f>
        <v>156.8</v>
      </c>
      <c r="D2339" s="1">
        <f>IFERROR(__xludf.DUMMYFUNCTION("""COMPUTED_VALUE"""),155.05)</f>
        <v>155.05</v>
      </c>
      <c r="E2339" s="1">
        <f>IFERROR(__xludf.DUMMYFUNCTION("""COMPUTED_VALUE"""),156.08)</f>
        <v>156.08</v>
      </c>
      <c r="F2339" s="1">
        <f>IFERROR(__xludf.DUMMYFUNCTION("""COMPUTED_VALUE"""),53826.0)</f>
        <v>53826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IFERROR(__xludf.DUMMYFUNCTION("""COMPUTED_VALUE"""),155.78)</f>
        <v>155.78</v>
      </c>
      <c r="C2340" s="1">
        <f>IFERROR(__xludf.DUMMYFUNCTION("""COMPUTED_VALUE"""),157.55)</f>
        <v>157.55</v>
      </c>
      <c r="D2340" s="1">
        <f>IFERROR(__xludf.DUMMYFUNCTION("""COMPUTED_VALUE"""),154.64)</f>
        <v>154.64</v>
      </c>
      <c r="E2340" s="1">
        <f>IFERROR(__xludf.DUMMYFUNCTION("""COMPUTED_VALUE"""),156.11)</f>
        <v>156.11</v>
      </c>
      <c r="F2340" s="1">
        <f>IFERROR(__xludf.DUMMYFUNCTION("""COMPUTED_VALUE"""),43896.0)</f>
        <v>43896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IFERROR(__xludf.DUMMYFUNCTION("""COMPUTED_VALUE"""),155.96)</f>
        <v>155.96</v>
      </c>
      <c r="C2341" s="1">
        <f>IFERROR(__xludf.DUMMYFUNCTION("""COMPUTED_VALUE"""),157.4)</f>
        <v>157.4</v>
      </c>
      <c r="D2341" s="1">
        <f>IFERROR(__xludf.DUMMYFUNCTION("""COMPUTED_VALUE"""),154.0)</f>
        <v>154</v>
      </c>
      <c r="E2341" s="1">
        <f>IFERROR(__xludf.DUMMYFUNCTION("""COMPUTED_VALUE"""),154.9)</f>
        <v>154.9</v>
      </c>
      <c r="F2341" s="1">
        <f>IFERROR(__xludf.DUMMYFUNCTION("""COMPUTED_VALUE"""),39698.0)</f>
        <v>39698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IFERROR(__xludf.DUMMYFUNCTION("""COMPUTED_VALUE"""),154.58)</f>
        <v>154.58</v>
      </c>
      <c r="C2342" s="1">
        <f>IFERROR(__xludf.DUMMYFUNCTION("""COMPUTED_VALUE"""),156.42)</f>
        <v>156.42</v>
      </c>
      <c r="D2342" s="1">
        <f>IFERROR(__xludf.DUMMYFUNCTION("""COMPUTED_VALUE"""),154.36)</f>
        <v>154.36</v>
      </c>
      <c r="E2342" s="1">
        <f>IFERROR(__xludf.DUMMYFUNCTION("""COMPUTED_VALUE"""),156.4)</f>
        <v>156.4</v>
      </c>
      <c r="F2342" s="1">
        <f>IFERROR(__xludf.DUMMYFUNCTION("""COMPUTED_VALUE"""),52410.0)</f>
        <v>52410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IFERROR(__xludf.DUMMYFUNCTION("""COMPUTED_VALUE"""),156.2)</f>
        <v>156.2</v>
      </c>
      <c r="C2343" s="1">
        <f>IFERROR(__xludf.DUMMYFUNCTION("""COMPUTED_VALUE"""),157.21)</f>
        <v>157.21</v>
      </c>
      <c r="D2343" s="1">
        <f>IFERROR(__xludf.DUMMYFUNCTION("""COMPUTED_VALUE"""),154.18)</f>
        <v>154.18</v>
      </c>
      <c r="E2343" s="1">
        <f>IFERROR(__xludf.DUMMYFUNCTION("""COMPUTED_VALUE"""),155.48)</f>
        <v>155.48</v>
      </c>
      <c r="F2343" s="1">
        <f>IFERROR(__xludf.DUMMYFUNCTION("""COMPUTED_VALUE"""),61953.0)</f>
        <v>61953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IFERROR(__xludf.DUMMYFUNCTION("""COMPUTED_VALUE"""),155.08)</f>
        <v>155.08</v>
      </c>
      <c r="C2344" s="1">
        <f>IFERROR(__xludf.DUMMYFUNCTION("""COMPUTED_VALUE"""),155.93)</f>
        <v>155.93</v>
      </c>
      <c r="D2344" s="1">
        <f>IFERROR(__xludf.DUMMYFUNCTION("""COMPUTED_VALUE"""),152.52)</f>
        <v>152.52</v>
      </c>
      <c r="E2344" s="1">
        <f>IFERROR(__xludf.DUMMYFUNCTION("""COMPUTED_VALUE"""),154.16)</f>
        <v>154.16</v>
      </c>
      <c r="F2344" s="1">
        <f>IFERROR(__xludf.DUMMYFUNCTION("""COMPUTED_VALUE"""),68714.0)</f>
        <v>68714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IFERROR(__xludf.DUMMYFUNCTION("""COMPUTED_VALUE"""),154.29)</f>
        <v>154.29</v>
      </c>
      <c r="C2345" s="1">
        <f>IFERROR(__xludf.DUMMYFUNCTION("""COMPUTED_VALUE"""),156.67)</f>
        <v>156.67</v>
      </c>
      <c r="D2345" s="1">
        <f>IFERROR(__xludf.DUMMYFUNCTION("""COMPUTED_VALUE"""),153.51)</f>
        <v>153.51</v>
      </c>
      <c r="E2345" s="1">
        <f>IFERROR(__xludf.DUMMYFUNCTION("""COMPUTED_VALUE"""),155.98)</f>
        <v>155.98</v>
      </c>
      <c r="F2345" s="1">
        <f>IFERROR(__xludf.DUMMYFUNCTION("""COMPUTED_VALUE"""),67858.0)</f>
        <v>67858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IFERROR(__xludf.DUMMYFUNCTION("""COMPUTED_VALUE"""),155.67)</f>
        <v>155.67</v>
      </c>
      <c r="C2346" s="1">
        <f>IFERROR(__xludf.DUMMYFUNCTION("""COMPUTED_VALUE"""),157.0)</f>
        <v>157</v>
      </c>
      <c r="D2346" s="1">
        <f>IFERROR(__xludf.DUMMYFUNCTION("""COMPUTED_VALUE"""),154.02)</f>
        <v>154.02</v>
      </c>
      <c r="E2346" s="1">
        <f>IFERROR(__xludf.DUMMYFUNCTION("""COMPUTED_VALUE"""),155.35)</f>
        <v>155.35</v>
      </c>
      <c r="F2346" s="1">
        <f>IFERROR(__xludf.DUMMYFUNCTION("""COMPUTED_VALUE"""),99652.0)</f>
        <v>99652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IFERROR(__xludf.DUMMYFUNCTION("""COMPUTED_VALUE"""),159.99)</f>
        <v>159.99</v>
      </c>
      <c r="C2347" s="1">
        <f>IFERROR(__xludf.DUMMYFUNCTION("""COMPUTED_VALUE"""),159.99)</f>
        <v>159.99</v>
      </c>
      <c r="D2347" s="1">
        <f>IFERROR(__xludf.DUMMYFUNCTION("""COMPUTED_VALUE"""),153.87)</f>
        <v>153.87</v>
      </c>
      <c r="E2347" s="1">
        <f>IFERROR(__xludf.DUMMYFUNCTION("""COMPUTED_VALUE"""),157.18)</f>
        <v>157.18</v>
      </c>
      <c r="F2347" s="1">
        <f>IFERROR(__xludf.DUMMYFUNCTION("""COMPUTED_VALUE"""),177946.0)</f>
        <v>177946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IFERROR(__xludf.DUMMYFUNCTION("""COMPUTED_VALUE"""),158.32)</f>
        <v>158.32</v>
      </c>
      <c r="C2348" s="1">
        <f>IFERROR(__xludf.DUMMYFUNCTION("""COMPUTED_VALUE"""),160.81)</f>
        <v>160.81</v>
      </c>
      <c r="D2348" s="1">
        <f>IFERROR(__xludf.DUMMYFUNCTION("""COMPUTED_VALUE"""),157.26)</f>
        <v>157.26</v>
      </c>
      <c r="E2348" s="1">
        <f>IFERROR(__xludf.DUMMYFUNCTION("""COMPUTED_VALUE"""),158.55)</f>
        <v>158.55</v>
      </c>
      <c r="F2348" s="1">
        <f>IFERROR(__xludf.DUMMYFUNCTION("""COMPUTED_VALUE"""),167943.0)</f>
        <v>167943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IFERROR(__xludf.DUMMYFUNCTION("""COMPUTED_VALUE"""),158.16)</f>
        <v>158.16</v>
      </c>
      <c r="C2349" s="1">
        <f>IFERROR(__xludf.DUMMYFUNCTION("""COMPUTED_VALUE"""),159.86)</f>
        <v>159.86</v>
      </c>
      <c r="D2349" s="1">
        <f>IFERROR(__xludf.DUMMYFUNCTION("""COMPUTED_VALUE"""),156.87)</f>
        <v>156.87</v>
      </c>
      <c r="E2349" s="1">
        <f>IFERROR(__xludf.DUMMYFUNCTION("""COMPUTED_VALUE"""),158.95)</f>
        <v>158.95</v>
      </c>
      <c r="F2349" s="1">
        <f>IFERROR(__xludf.DUMMYFUNCTION("""COMPUTED_VALUE"""),72375.0)</f>
        <v>72375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IFERROR(__xludf.DUMMYFUNCTION("""COMPUTED_VALUE"""),158.61)</f>
        <v>158.61</v>
      </c>
      <c r="C2350" s="1">
        <f>IFERROR(__xludf.DUMMYFUNCTION("""COMPUTED_VALUE"""),161.84)</f>
        <v>161.84</v>
      </c>
      <c r="D2350" s="1">
        <f>IFERROR(__xludf.DUMMYFUNCTION("""COMPUTED_VALUE"""),158.61)</f>
        <v>158.61</v>
      </c>
      <c r="E2350" s="1">
        <f>IFERROR(__xludf.DUMMYFUNCTION("""COMPUTED_VALUE"""),161.48)</f>
        <v>161.48</v>
      </c>
      <c r="F2350" s="1">
        <f>IFERROR(__xludf.DUMMYFUNCTION("""COMPUTED_VALUE"""),59445.0)</f>
        <v>59445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IFERROR(__xludf.DUMMYFUNCTION("""COMPUTED_VALUE"""),160.66)</f>
        <v>160.66</v>
      </c>
      <c r="C2351" s="1">
        <f>IFERROR(__xludf.DUMMYFUNCTION("""COMPUTED_VALUE"""),165.64)</f>
        <v>165.64</v>
      </c>
      <c r="D2351" s="1">
        <f>IFERROR(__xludf.DUMMYFUNCTION("""COMPUTED_VALUE"""),158.27)</f>
        <v>158.27</v>
      </c>
      <c r="E2351" s="1">
        <f>IFERROR(__xludf.DUMMYFUNCTION("""COMPUTED_VALUE"""),164.45)</f>
        <v>164.45</v>
      </c>
      <c r="F2351" s="1">
        <f>IFERROR(__xludf.DUMMYFUNCTION("""COMPUTED_VALUE"""),112052.0)</f>
        <v>112052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IFERROR(__xludf.DUMMYFUNCTION("""COMPUTED_VALUE"""),163.59)</f>
        <v>163.59</v>
      </c>
      <c r="C2352" s="1">
        <f>IFERROR(__xludf.DUMMYFUNCTION("""COMPUTED_VALUE"""),164.08)</f>
        <v>164.08</v>
      </c>
      <c r="D2352" s="1">
        <f>IFERROR(__xludf.DUMMYFUNCTION("""COMPUTED_VALUE"""),158.71)</f>
        <v>158.71</v>
      </c>
      <c r="E2352" s="1">
        <f>IFERROR(__xludf.DUMMYFUNCTION("""COMPUTED_VALUE"""),160.46)</f>
        <v>160.46</v>
      </c>
      <c r="F2352" s="1">
        <f>IFERROR(__xludf.DUMMYFUNCTION("""COMPUTED_VALUE"""),46331.0)</f>
        <v>46331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IFERROR(__xludf.DUMMYFUNCTION("""COMPUTED_VALUE"""),160.71)</f>
        <v>160.71</v>
      </c>
      <c r="C2353" s="1">
        <f>IFERROR(__xludf.DUMMYFUNCTION("""COMPUTED_VALUE"""),161.6)</f>
        <v>161.6</v>
      </c>
      <c r="D2353" s="1">
        <f>IFERROR(__xludf.DUMMYFUNCTION("""COMPUTED_VALUE"""),159.35)</f>
        <v>159.35</v>
      </c>
      <c r="E2353" s="1">
        <f>IFERROR(__xludf.DUMMYFUNCTION("""COMPUTED_VALUE"""),160.24)</f>
        <v>160.24</v>
      </c>
      <c r="F2353" s="1">
        <f>IFERROR(__xludf.DUMMYFUNCTION("""COMPUTED_VALUE"""),53895.0)</f>
        <v>53895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IFERROR(__xludf.DUMMYFUNCTION("""COMPUTED_VALUE"""),159.98)</f>
        <v>159.98</v>
      </c>
      <c r="C2354" s="1">
        <f>IFERROR(__xludf.DUMMYFUNCTION("""COMPUTED_VALUE"""),160.87)</f>
        <v>160.87</v>
      </c>
      <c r="D2354" s="1">
        <f>IFERROR(__xludf.DUMMYFUNCTION("""COMPUTED_VALUE"""),156.12)</f>
        <v>156.12</v>
      </c>
      <c r="E2354" s="1">
        <f>IFERROR(__xludf.DUMMYFUNCTION("""COMPUTED_VALUE"""),160.57)</f>
        <v>160.57</v>
      </c>
      <c r="F2354" s="1">
        <f>IFERROR(__xludf.DUMMYFUNCTION("""COMPUTED_VALUE"""),62677.0)</f>
        <v>62677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IFERROR(__xludf.DUMMYFUNCTION("""COMPUTED_VALUE"""),160.42)</f>
        <v>160.42</v>
      </c>
      <c r="C2355" s="1">
        <f>IFERROR(__xludf.DUMMYFUNCTION("""COMPUTED_VALUE"""),162.17)</f>
        <v>162.17</v>
      </c>
      <c r="D2355" s="1">
        <f>IFERROR(__xludf.DUMMYFUNCTION("""COMPUTED_VALUE"""),158.16)</f>
        <v>158.16</v>
      </c>
      <c r="E2355" s="1">
        <f>IFERROR(__xludf.DUMMYFUNCTION("""COMPUTED_VALUE"""),161.92)</f>
        <v>161.92</v>
      </c>
      <c r="F2355" s="1">
        <f>IFERROR(__xludf.DUMMYFUNCTION("""COMPUTED_VALUE"""),44058.0)</f>
        <v>44058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IFERROR(__xludf.DUMMYFUNCTION("""COMPUTED_VALUE"""),160.89)</f>
        <v>160.89</v>
      </c>
      <c r="C2356" s="1">
        <f>IFERROR(__xludf.DUMMYFUNCTION("""COMPUTED_VALUE"""),163.09)</f>
        <v>163.09</v>
      </c>
      <c r="D2356" s="1">
        <f>IFERROR(__xludf.DUMMYFUNCTION("""COMPUTED_VALUE"""),158.76)</f>
        <v>158.76</v>
      </c>
      <c r="E2356" s="1">
        <f>IFERROR(__xludf.DUMMYFUNCTION("""COMPUTED_VALUE"""),162.82)</f>
        <v>162.82</v>
      </c>
      <c r="F2356" s="1">
        <f>IFERROR(__xludf.DUMMYFUNCTION("""COMPUTED_VALUE"""),61544.0)</f>
        <v>61544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IFERROR(__xludf.DUMMYFUNCTION("""COMPUTED_VALUE"""),162.84)</f>
        <v>162.84</v>
      </c>
      <c r="C2357" s="1">
        <f>IFERROR(__xludf.DUMMYFUNCTION("""COMPUTED_VALUE"""),164.11)</f>
        <v>164.11</v>
      </c>
      <c r="D2357" s="1">
        <f>IFERROR(__xludf.DUMMYFUNCTION("""COMPUTED_VALUE"""),161.74)</f>
        <v>161.74</v>
      </c>
      <c r="E2357" s="1">
        <f>IFERROR(__xludf.DUMMYFUNCTION("""COMPUTED_VALUE"""),163.29)</f>
        <v>163.29</v>
      </c>
      <c r="F2357" s="1">
        <f>IFERROR(__xludf.DUMMYFUNCTION("""COMPUTED_VALUE"""),67808.0)</f>
        <v>67808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IFERROR(__xludf.DUMMYFUNCTION("""COMPUTED_VALUE"""),162.63)</f>
        <v>162.63</v>
      </c>
      <c r="C2358" s="1">
        <f>IFERROR(__xludf.DUMMYFUNCTION("""COMPUTED_VALUE"""),164.44)</f>
        <v>164.44</v>
      </c>
      <c r="D2358" s="1">
        <f>IFERROR(__xludf.DUMMYFUNCTION("""COMPUTED_VALUE"""),162.11)</f>
        <v>162.11</v>
      </c>
      <c r="E2358" s="1">
        <f>IFERROR(__xludf.DUMMYFUNCTION("""COMPUTED_VALUE"""),163.97)</f>
        <v>163.97</v>
      </c>
      <c r="F2358" s="1">
        <f>IFERROR(__xludf.DUMMYFUNCTION("""COMPUTED_VALUE"""),62897.0)</f>
        <v>62897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IFERROR(__xludf.DUMMYFUNCTION("""COMPUTED_VALUE"""),163.98)</f>
        <v>163.98</v>
      </c>
      <c r="C2359" s="1">
        <f>IFERROR(__xludf.DUMMYFUNCTION("""COMPUTED_VALUE"""),166.54)</f>
        <v>166.54</v>
      </c>
      <c r="D2359" s="1">
        <f>IFERROR(__xludf.DUMMYFUNCTION("""COMPUTED_VALUE"""),162.48)</f>
        <v>162.48</v>
      </c>
      <c r="E2359" s="1">
        <f>IFERROR(__xludf.DUMMYFUNCTION("""COMPUTED_VALUE"""),163.56)</f>
        <v>163.56</v>
      </c>
      <c r="F2359" s="1">
        <f>IFERROR(__xludf.DUMMYFUNCTION("""COMPUTED_VALUE"""),76604.0)</f>
        <v>76604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IFERROR(__xludf.DUMMYFUNCTION("""COMPUTED_VALUE"""),163.06)</f>
        <v>163.06</v>
      </c>
      <c r="C2360" s="1">
        <f>IFERROR(__xludf.DUMMYFUNCTION("""COMPUTED_VALUE"""),165.45)</f>
        <v>165.45</v>
      </c>
      <c r="D2360" s="1">
        <f>IFERROR(__xludf.DUMMYFUNCTION("""COMPUTED_VALUE"""),163.06)</f>
        <v>163.06</v>
      </c>
      <c r="E2360" s="1">
        <f>IFERROR(__xludf.DUMMYFUNCTION("""COMPUTED_VALUE"""),163.85)</f>
        <v>163.85</v>
      </c>
      <c r="F2360" s="1">
        <f>IFERROR(__xludf.DUMMYFUNCTION("""COMPUTED_VALUE"""),57442.0)</f>
        <v>57442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IFERROR(__xludf.DUMMYFUNCTION("""COMPUTED_VALUE"""),163.02)</f>
        <v>163.02</v>
      </c>
      <c r="C2361" s="1">
        <f>IFERROR(__xludf.DUMMYFUNCTION("""COMPUTED_VALUE"""),163.8)</f>
        <v>163.8</v>
      </c>
      <c r="D2361" s="1">
        <f>IFERROR(__xludf.DUMMYFUNCTION("""COMPUTED_VALUE"""),162.21)</f>
        <v>162.21</v>
      </c>
      <c r="E2361" s="1">
        <f>IFERROR(__xludf.DUMMYFUNCTION("""COMPUTED_VALUE"""),162.99)</f>
        <v>162.99</v>
      </c>
      <c r="F2361" s="1">
        <f>IFERROR(__xludf.DUMMYFUNCTION("""COMPUTED_VALUE"""),62593.0)</f>
        <v>62593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IFERROR(__xludf.DUMMYFUNCTION("""COMPUTED_VALUE"""),163.5)</f>
        <v>163.5</v>
      </c>
      <c r="C2362" s="1">
        <f>IFERROR(__xludf.DUMMYFUNCTION("""COMPUTED_VALUE"""),165.14)</f>
        <v>165.14</v>
      </c>
      <c r="D2362" s="1">
        <f>IFERROR(__xludf.DUMMYFUNCTION("""COMPUTED_VALUE"""),162.15)</f>
        <v>162.15</v>
      </c>
      <c r="E2362" s="1">
        <f>IFERROR(__xludf.DUMMYFUNCTION("""COMPUTED_VALUE"""),164.85)</f>
        <v>164.85</v>
      </c>
      <c r="F2362" s="1">
        <f>IFERROR(__xludf.DUMMYFUNCTION("""COMPUTED_VALUE"""),60521.0)</f>
        <v>60521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IFERROR(__xludf.DUMMYFUNCTION("""COMPUTED_VALUE"""),164.77)</f>
        <v>164.77</v>
      </c>
      <c r="C2363" s="1">
        <f>IFERROR(__xludf.DUMMYFUNCTION("""COMPUTED_VALUE"""),166.86)</f>
        <v>166.86</v>
      </c>
      <c r="D2363" s="1">
        <f>IFERROR(__xludf.DUMMYFUNCTION("""COMPUTED_VALUE"""),164.02)</f>
        <v>164.02</v>
      </c>
      <c r="E2363" s="1">
        <f>IFERROR(__xludf.DUMMYFUNCTION("""COMPUTED_VALUE"""),165.68)</f>
        <v>165.68</v>
      </c>
      <c r="F2363" s="1">
        <f>IFERROR(__xludf.DUMMYFUNCTION("""COMPUTED_VALUE"""),72121.0)</f>
        <v>72121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IFERROR(__xludf.DUMMYFUNCTION("""COMPUTED_VALUE"""),165.39)</f>
        <v>165.39</v>
      </c>
      <c r="C2364" s="1">
        <f>IFERROR(__xludf.DUMMYFUNCTION("""COMPUTED_VALUE"""),167.5)</f>
        <v>167.5</v>
      </c>
      <c r="D2364" s="1">
        <f>IFERROR(__xludf.DUMMYFUNCTION("""COMPUTED_VALUE"""),161.01)</f>
        <v>161.01</v>
      </c>
      <c r="E2364" s="1">
        <f>IFERROR(__xludf.DUMMYFUNCTION("""COMPUTED_VALUE"""),162.56)</f>
        <v>162.56</v>
      </c>
      <c r="F2364" s="1">
        <f>IFERROR(__xludf.DUMMYFUNCTION("""COMPUTED_VALUE"""),60101.0)</f>
        <v>60101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IFERROR(__xludf.DUMMYFUNCTION("""COMPUTED_VALUE"""),163.23)</f>
        <v>163.23</v>
      </c>
      <c r="C2365" s="1">
        <f>IFERROR(__xludf.DUMMYFUNCTION("""COMPUTED_VALUE"""),165.01)</f>
        <v>165.01</v>
      </c>
      <c r="D2365" s="1">
        <f>IFERROR(__xludf.DUMMYFUNCTION("""COMPUTED_VALUE"""),160.96)</f>
        <v>160.96</v>
      </c>
      <c r="E2365" s="1">
        <f>IFERROR(__xludf.DUMMYFUNCTION("""COMPUTED_VALUE"""),162.58)</f>
        <v>162.58</v>
      </c>
      <c r="F2365" s="1">
        <f>IFERROR(__xludf.DUMMYFUNCTION("""COMPUTED_VALUE"""),50090.0)</f>
        <v>50090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IFERROR(__xludf.DUMMYFUNCTION("""COMPUTED_VALUE"""),162.78)</f>
        <v>162.78</v>
      </c>
      <c r="C2366" s="1">
        <f>IFERROR(__xludf.DUMMYFUNCTION("""COMPUTED_VALUE"""),164.8)</f>
        <v>164.8</v>
      </c>
      <c r="D2366" s="1">
        <f>IFERROR(__xludf.DUMMYFUNCTION("""COMPUTED_VALUE"""),160.62)</f>
        <v>160.62</v>
      </c>
      <c r="E2366" s="1">
        <f>IFERROR(__xludf.DUMMYFUNCTION("""COMPUTED_VALUE"""),162.1)</f>
        <v>162.1</v>
      </c>
      <c r="F2366" s="1">
        <f>IFERROR(__xludf.DUMMYFUNCTION("""COMPUTED_VALUE"""),92588.0)</f>
        <v>92588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IFERROR(__xludf.DUMMYFUNCTION("""COMPUTED_VALUE"""),161.91)</f>
        <v>161.91</v>
      </c>
      <c r="C2367" s="1">
        <f>IFERROR(__xludf.DUMMYFUNCTION("""COMPUTED_VALUE"""),162.29)</f>
        <v>162.29</v>
      </c>
      <c r="D2367" s="1">
        <f>IFERROR(__xludf.DUMMYFUNCTION("""COMPUTED_VALUE"""),159.8)</f>
        <v>159.8</v>
      </c>
      <c r="E2367" s="1">
        <f>IFERROR(__xludf.DUMMYFUNCTION("""COMPUTED_VALUE"""),160.16)</f>
        <v>160.16</v>
      </c>
      <c r="F2367" s="1">
        <f>IFERROR(__xludf.DUMMYFUNCTION("""COMPUTED_VALUE"""),63776.0)</f>
        <v>63776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IFERROR(__xludf.DUMMYFUNCTION("""COMPUTED_VALUE"""),160.74)</f>
        <v>160.74</v>
      </c>
      <c r="C2368" s="1">
        <f>IFERROR(__xludf.DUMMYFUNCTION("""COMPUTED_VALUE"""),161.5)</f>
        <v>161.5</v>
      </c>
      <c r="D2368" s="1">
        <f>IFERROR(__xludf.DUMMYFUNCTION("""COMPUTED_VALUE"""),159.51)</f>
        <v>159.51</v>
      </c>
      <c r="E2368" s="1">
        <f>IFERROR(__xludf.DUMMYFUNCTION("""COMPUTED_VALUE"""),160.45)</f>
        <v>160.45</v>
      </c>
      <c r="F2368" s="1">
        <f>IFERROR(__xludf.DUMMYFUNCTION("""COMPUTED_VALUE"""),45877.0)</f>
        <v>45877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IFERROR(__xludf.DUMMYFUNCTION("""COMPUTED_VALUE"""),160.1)</f>
        <v>160.1</v>
      </c>
      <c r="C2369" s="1">
        <f>IFERROR(__xludf.DUMMYFUNCTION("""COMPUTED_VALUE"""),161.14)</f>
        <v>161.14</v>
      </c>
      <c r="D2369" s="1">
        <f>IFERROR(__xludf.DUMMYFUNCTION("""COMPUTED_VALUE"""),157.23)</f>
        <v>157.23</v>
      </c>
      <c r="E2369" s="1">
        <f>IFERROR(__xludf.DUMMYFUNCTION("""COMPUTED_VALUE"""),160.85)</f>
        <v>160.85</v>
      </c>
      <c r="F2369" s="1">
        <f>IFERROR(__xludf.DUMMYFUNCTION("""COMPUTED_VALUE"""),73805.0)</f>
        <v>73805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IFERROR(__xludf.DUMMYFUNCTION("""COMPUTED_VALUE"""),160.82)</f>
        <v>160.82</v>
      </c>
      <c r="C2370" s="1">
        <f>IFERROR(__xludf.DUMMYFUNCTION("""COMPUTED_VALUE"""),161.65)</f>
        <v>161.65</v>
      </c>
      <c r="D2370" s="1">
        <f>IFERROR(__xludf.DUMMYFUNCTION("""COMPUTED_VALUE"""),159.01)</f>
        <v>159.01</v>
      </c>
      <c r="E2370" s="1">
        <f>IFERROR(__xludf.DUMMYFUNCTION("""COMPUTED_VALUE"""),159.85)</f>
        <v>159.85</v>
      </c>
      <c r="F2370" s="1">
        <f>IFERROR(__xludf.DUMMYFUNCTION("""COMPUTED_VALUE"""),91744.0)</f>
        <v>91744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IFERROR(__xludf.DUMMYFUNCTION("""COMPUTED_VALUE"""),160.8)</f>
        <v>160.8</v>
      </c>
      <c r="C2371" s="1">
        <f>IFERROR(__xludf.DUMMYFUNCTION("""COMPUTED_VALUE"""),161.38)</f>
        <v>161.38</v>
      </c>
      <c r="D2371" s="1">
        <f>IFERROR(__xludf.DUMMYFUNCTION("""COMPUTED_VALUE"""),159.11)</f>
        <v>159.11</v>
      </c>
      <c r="E2371" s="1">
        <f>IFERROR(__xludf.DUMMYFUNCTION("""COMPUTED_VALUE"""),160.86)</f>
        <v>160.86</v>
      </c>
      <c r="F2371" s="1">
        <f>IFERROR(__xludf.DUMMYFUNCTION("""COMPUTED_VALUE"""),72502.0)</f>
        <v>72502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IFERROR(__xludf.DUMMYFUNCTION("""COMPUTED_VALUE"""),161.46)</f>
        <v>161.46</v>
      </c>
      <c r="C2372" s="1">
        <f>IFERROR(__xludf.DUMMYFUNCTION("""COMPUTED_VALUE"""),163.86)</f>
        <v>163.86</v>
      </c>
      <c r="D2372" s="1">
        <f>IFERROR(__xludf.DUMMYFUNCTION("""COMPUTED_VALUE"""),160.6)</f>
        <v>160.6</v>
      </c>
      <c r="E2372" s="1">
        <f>IFERROR(__xludf.DUMMYFUNCTION("""COMPUTED_VALUE"""),163.33)</f>
        <v>163.33</v>
      </c>
      <c r="F2372" s="1">
        <f>IFERROR(__xludf.DUMMYFUNCTION("""COMPUTED_VALUE"""),60962.0)</f>
        <v>60962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IFERROR(__xludf.DUMMYFUNCTION("""COMPUTED_VALUE"""),163.63)</f>
        <v>163.63</v>
      </c>
      <c r="C2373" s="1">
        <f>IFERROR(__xludf.DUMMYFUNCTION("""COMPUTED_VALUE"""),163.9)</f>
        <v>163.9</v>
      </c>
      <c r="D2373" s="1">
        <f>IFERROR(__xludf.DUMMYFUNCTION("""COMPUTED_VALUE"""),162.64)</f>
        <v>162.64</v>
      </c>
      <c r="E2373" s="1">
        <f>IFERROR(__xludf.DUMMYFUNCTION("""COMPUTED_VALUE"""),163.39)</f>
        <v>163.39</v>
      </c>
      <c r="F2373" s="1">
        <f>IFERROR(__xludf.DUMMYFUNCTION("""COMPUTED_VALUE"""),46541.0)</f>
        <v>46541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IFERROR(__xludf.DUMMYFUNCTION("""COMPUTED_VALUE"""),163.98)</f>
        <v>163.98</v>
      </c>
      <c r="C2374" s="1">
        <f>IFERROR(__xludf.DUMMYFUNCTION("""COMPUTED_VALUE"""),166.32)</f>
        <v>166.32</v>
      </c>
      <c r="D2374" s="1">
        <f>IFERROR(__xludf.DUMMYFUNCTION("""COMPUTED_VALUE"""),163.8)</f>
        <v>163.8</v>
      </c>
      <c r="E2374" s="1">
        <f>IFERROR(__xludf.DUMMYFUNCTION("""COMPUTED_VALUE"""),164.07)</f>
        <v>164.07</v>
      </c>
      <c r="F2374" s="1">
        <f>IFERROR(__xludf.DUMMYFUNCTION("""COMPUTED_VALUE"""),53492.0)</f>
        <v>53492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IFERROR(__xludf.DUMMYFUNCTION("""COMPUTED_VALUE"""),164.31)</f>
        <v>164.31</v>
      </c>
      <c r="C2375" s="1">
        <f>IFERROR(__xludf.DUMMYFUNCTION("""COMPUTED_VALUE"""),165.29)</f>
        <v>165.29</v>
      </c>
      <c r="D2375" s="1">
        <f>IFERROR(__xludf.DUMMYFUNCTION("""COMPUTED_VALUE"""),162.33)</f>
        <v>162.33</v>
      </c>
      <c r="E2375" s="1">
        <f>IFERROR(__xludf.DUMMYFUNCTION("""COMPUTED_VALUE"""),164.46)</f>
        <v>164.46</v>
      </c>
      <c r="F2375" s="1">
        <f>IFERROR(__xludf.DUMMYFUNCTION("""COMPUTED_VALUE"""),58661.0)</f>
        <v>58661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IFERROR(__xludf.DUMMYFUNCTION("""COMPUTED_VALUE"""),164.18)</f>
        <v>164.18</v>
      </c>
      <c r="C2376" s="1">
        <f>IFERROR(__xludf.DUMMYFUNCTION("""COMPUTED_VALUE"""),165.12)</f>
        <v>165.12</v>
      </c>
      <c r="D2376" s="1">
        <f>IFERROR(__xludf.DUMMYFUNCTION("""COMPUTED_VALUE"""),161.55)</f>
        <v>161.55</v>
      </c>
      <c r="E2376" s="1">
        <f>IFERROR(__xludf.DUMMYFUNCTION("""COMPUTED_VALUE"""),162.92)</f>
        <v>162.92</v>
      </c>
      <c r="F2376" s="1">
        <f>IFERROR(__xludf.DUMMYFUNCTION("""COMPUTED_VALUE"""),65567.0)</f>
        <v>65567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IFERROR(__xludf.DUMMYFUNCTION("""COMPUTED_VALUE"""),163.19)</f>
        <v>163.19</v>
      </c>
      <c r="C2377" s="1">
        <f>IFERROR(__xludf.DUMMYFUNCTION("""COMPUTED_VALUE"""),165.01)</f>
        <v>165.01</v>
      </c>
      <c r="D2377" s="1">
        <f>IFERROR(__xludf.DUMMYFUNCTION("""COMPUTED_VALUE"""),162.97)</f>
        <v>162.97</v>
      </c>
      <c r="E2377" s="1">
        <f>IFERROR(__xludf.DUMMYFUNCTION("""COMPUTED_VALUE"""),164.39)</f>
        <v>164.39</v>
      </c>
      <c r="F2377" s="1">
        <f>IFERROR(__xludf.DUMMYFUNCTION("""COMPUTED_VALUE"""),56905.0)</f>
        <v>56905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IFERROR(__xludf.DUMMYFUNCTION("""COMPUTED_VALUE"""),164.09)</f>
        <v>164.09</v>
      </c>
      <c r="C2378" s="1">
        <f>IFERROR(__xludf.DUMMYFUNCTION("""COMPUTED_VALUE"""),165.52)</f>
        <v>165.52</v>
      </c>
      <c r="D2378" s="1">
        <f>IFERROR(__xludf.DUMMYFUNCTION("""COMPUTED_VALUE"""),163.42)</f>
        <v>163.42</v>
      </c>
      <c r="E2378" s="1">
        <f>IFERROR(__xludf.DUMMYFUNCTION("""COMPUTED_VALUE"""),164.3)</f>
        <v>164.3</v>
      </c>
      <c r="F2378" s="1">
        <f>IFERROR(__xludf.DUMMYFUNCTION("""COMPUTED_VALUE"""),70351.0)</f>
        <v>70351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IFERROR(__xludf.DUMMYFUNCTION("""COMPUTED_VALUE"""),164.7)</f>
        <v>164.7</v>
      </c>
      <c r="C2379" s="1">
        <f>IFERROR(__xludf.DUMMYFUNCTION("""COMPUTED_VALUE"""),165.06)</f>
        <v>165.06</v>
      </c>
      <c r="D2379" s="1">
        <f>IFERROR(__xludf.DUMMYFUNCTION("""COMPUTED_VALUE"""),163.67)</f>
        <v>163.67</v>
      </c>
      <c r="E2379" s="1">
        <f>IFERROR(__xludf.DUMMYFUNCTION("""COMPUTED_VALUE"""),164.11)</f>
        <v>164.11</v>
      </c>
      <c r="F2379" s="1">
        <f>IFERROR(__xludf.DUMMYFUNCTION("""COMPUTED_VALUE"""),61149.0)</f>
        <v>61149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IFERROR(__xludf.DUMMYFUNCTION("""COMPUTED_VALUE"""),163.93)</f>
        <v>163.93</v>
      </c>
      <c r="C2380" s="1">
        <f>IFERROR(__xludf.DUMMYFUNCTION("""COMPUTED_VALUE"""),164.01)</f>
        <v>164.01</v>
      </c>
      <c r="D2380" s="1">
        <f>IFERROR(__xludf.DUMMYFUNCTION("""COMPUTED_VALUE"""),160.78)</f>
        <v>160.78</v>
      </c>
      <c r="E2380" s="1">
        <f>IFERROR(__xludf.DUMMYFUNCTION("""COMPUTED_VALUE"""),162.44)</f>
        <v>162.44</v>
      </c>
      <c r="F2380" s="1">
        <f>IFERROR(__xludf.DUMMYFUNCTION("""COMPUTED_VALUE"""),57983.0)</f>
        <v>57983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IFERROR(__xludf.DUMMYFUNCTION("""COMPUTED_VALUE"""),163.1)</f>
        <v>163.1</v>
      </c>
      <c r="C2381" s="1">
        <f>IFERROR(__xludf.DUMMYFUNCTION("""COMPUTED_VALUE"""),164.12)</f>
        <v>164.12</v>
      </c>
      <c r="D2381" s="1">
        <f>IFERROR(__xludf.DUMMYFUNCTION("""COMPUTED_VALUE"""),161.24)</f>
        <v>161.24</v>
      </c>
      <c r="E2381" s="1">
        <f>IFERROR(__xludf.DUMMYFUNCTION("""COMPUTED_VALUE"""),161.96)</f>
        <v>161.96</v>
      </c>
      <c r="F2381" s="1">
        <f>IFERROR(__xludf.DUMMYFUNCTION("""COMPUTED_VALUE"""),66748.0)</f>
        <v>66748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IFERROR(__xludf.DUMMYFUNCTION("""COMPUTED_VALUE"""),162.2)</f>
        <v>162.2</v>
      </c>
      <c r="C2382" s="1">
        <f>IFERROR(__xludf.DUMMYFUNCTION("""COMPUTED_VALUE"""),164.86)</f>
        <v>164.86</v>
      </c>
      <c r="D2382" s="1">
        <f>IFERROR(__xludf.DUMMYFUNCTION("""COMPUTED_VALUE"""),161.25)</f>
        <v>161.25</v>
      </c>
      <c r="E2382" s="1">
        <f>IFERROR(__xludf.DUMMYFUNCTION("""COMPUTED_VALUE"""),164.55)</f>
        <v>164.55</v>
      </c>
      <c r="F2382" s="1">
        <f>IFERROR(__xludf.DUMMYFUNCTION("""COMPUTED_VALUE"""),55115.0)</f>
        <v>55115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IFERROR(__xludf.DUMMYFUNCTION("""COMPUTED_VALUE"""),165.12)</f>
        <v>165.12</v>
      </c>
      <c r="C2383" s="1">
        <f>IFERROR(__xludf.DUMMYFUNCTION("""COMPUTED_VALUE"""),165.8)</f>
        <v>165.8</v>
      </c>
      <c r="D2383" s="1">
        <f>IFERROR(__xludf.DUMMYFUNCTION("""COMPUTED_VALUE"""),157.52)</f>
        <v>157.52</v>
      </c>
      <c r="E2383" s="1">
        <f>IFERROR(__xludf.DUMMYFUNCTION("""COMPUTED_VALUE"""),163.35)</f>
        <v>163.35</v>
      </c>
      <c r="F2383" s="1">
        <f>IFERROR(__xludf.DUMMYFUNCTION("""COMPUTED_VALUE"""),65730.0)</f>
        <v>65730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IFERROR(__xludf.DUMMYFUNCTION("""COMPUTED_VALUE"""),162.75)</f>
        <v>162.75</v>
      </c>
      <c r="C2384" s="1">
        <f>IFERROR(__xludf.DUMMYFUNCTION("""COMPUTED_VALUE"""),164.81)</f>
        <v>164.81</v>
      </c>
      <c r="D2384" s="1">
        <f>IFERROR(__xludf.DUMMYFUNCTION("""COMPUTED_VALUE"""),161.69)</f>
        <v>161.69</v>
      </c>
      <c r="E2384" s="1">
        <f>IFERROR(__xludf.DUMMYFUNCTION("""COMPUTED_VALUE"""),162.56)</f>
        <v>162.56</v>
      </c>
      <c r="F2384" s="1">
        <f>IFERROR(__xludf.DUMMYFUNCTION("""COMPUTED_VALUE"""),115825.0)</f>
        <v>115825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IFERROR(__xludf.DUMMYFUNCTION("""COMPUTED_VALUE"""),162.95)</f>
        <v>162.95</v>
      </c>
      <c r="C2385" s="1">
        <f>IFERROR(__xludf.DUMMYFUNCTION("""COMPUTED_VALUE"""),163.27)</f>
        <v>163.27</v>
      </c>
      <c r="D2385" s="1">
        <f>IFERROR(__xludf.DUMMYFUNCTION("""COMPUTED_VALUE"""),161.5)</f>
        <v>161.5</v>
      </c>
      <c r="E2385" s="1">
        <f>IFERROR(__xludf.DUMMYFUNCTION("""COMPUTED_VALUE"""),161.55)</f>
        <v>161.55</v>
      </c>
      <c r="F2385" s="1">
        <f>IFERROR(__xludf.DUMMYFUNCTION("""COMPUTED_VALUE"""),52357.0)</f>
        <v>52357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IFERROR(__xludf.DUMMYFUNCTION("""COMPUTED_VALUE"""),161.95)</f>
        <v>161.95</v>
      </c>
      <c r="C2386" s="1">
        <f>IFERROR(__xludf.DUMMYFUNCTION("""COMPUTED_VALUE"""),162.92)</f>
        <v>162.92</v>
      </c>
      <c r="D2386" s="1">
        <f>IFERROR(__xludf.DUMMYFUNCTION("""COMPUTED_VALUE"""),160.95)</f>
        <v>160.95</v>
      </c>
      <c r="E2386" s="1">
        <f>IFERROR(__xludf.DUMMYFUNCTION("""COMPUTED_VALUE"""),162.42)</f>
        <v>162.42</v>
      </c>
      <c r="F2386" s="1">
        <f>IFERROR(__xludf.DUMMYFUNCTION("""COMPUTED_VALUE"""),51101.0)</f>
        <v>51101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IFERROR(__xludf.DUMMYFUNCTION("""COMPUTED_VALUE"""),162.83)</f>
        <v>162.83</v>
      </c>
      <c r="C2387" s="1">
        <f>IFERROR(__xludf.DUMMYFUNCTION("""COMPUTED_VALUE"""),162.83)</f>
        <v>162.83</v>
      </c>
      <c r="D2387" s="1">
        <f>IFERROR(__xludf.DUMMYFUNCTION("""COMPUTED_VALUE"""),157.7)</f>
        <v>157.7</v>
      </c>
      <c r="E2387" s="1">
        <f>IFERROR(__xludf.DUMMYFUNCTION("""COMPUTED_VALUE"""),157.9)</f>
        <v>157.9</v>
      </c>
      <c r="F2387" s="1">
        <f>IFERROR(__xludf.DUMMYFUNCTION("""COMPUTED_VALUE"""),83378.0)</f>
        <v>83378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IFERROR(__xludf.DUMMYFUNCTION("""COMPUTED_VALUE"""),157.47)</f>
        <v>157.47</v>
      </c>
      <c r="C2388" s="1">
        <f>IFERROR(__xludf.DUMMYFUNCTION("""COMPUTED_VALUE"""),160.62)</f>
        <v>160.62</v>
      </c>
      <c r="D2388" s="1">
        <f>IFERROR(__xludf.DUMMYFUNCTION("""COMPUTED_VALUE"""),156.95)</f>
        <v>156.95</v>
      </c>
      <c r="E2388" s="1">
        <f>IFERROR(__xludf.DUMMYFUNCTION("""COMPUTED_VALUE"""),160.52)</f>
        <v>160.52</v>
      </c>
      <c r="F2388" s="1">
        <f>IFERROR(__xludf.DUMMYFUNCTION("""COMPUTED_VALUE"""),63269.0)</f>
        <v>63269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IFERROR(__xludf.DUMMYFUNCTION("""COMPUTED_VALUE"""),161.16)</f>
        <v>161.16</v>
      </c>
      <c r="C2389" s="1">
        <f>IFERROR(__xludf.DUMMYFUNCTION("""COMPUTED_VALUE"""),162.27)</f>
        <v>162.27</v>
      </c>
      <c r="D2389" s="1">
        <f>IFERROR(__xludf.DUMMYFUNCTION("""COMPUTED_VALUE"""),160.13)</f>
        <v>160.13</v>
      </c>
      <c r="E2389" s="1">
        <f>IFERROR(__xludf.DUMMYFUNCTION("""COMPUTED_VALUE"""),160.95)</f>
        <v>160.95</v>
      </c>
      <c r="F2389" s="1">
        <f>IFERROR(__xludf.DUMMYFUNCTION("""COMPUTED_VALUE"""),183802.0)</f>
        <v>183802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IFERROR(__xludf.DUMMYFUNCTION("""COMPUTED_VALUE"""),161.55)</f>
        <v>161.55</v>
      </c>
      <c r="C2390" s="1">
        <f>IFERROR(__xludf.DUMMYFUNCTION("""COMPUTED_VALUE"""),162.26)</f>
        <v>162.26</v>
      </c>
      <c r="D2390" s="1">
        <f>IFERROR(__xludf.DUMMYFUNCTION("""COMPUTED_VALUE"""),159.63)</f>
        <v>159.63</v>
      </c>
      <c r="E2390" s="1">
        <f>IFERROR(__xludf.DUMMYFUNCTION("""COMPUTED_VALUE"""),161.57)</f>
        <v>161.57</v>
      </c>
      <c r="F2390" s="1">
        <f>IFERROR(__xludf.DUMMYFUNCTION("""COMPUTED_VALUE"""),78376.0)</f>
        <v>78376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IFERROR(__xludf.DUMMYFUNCTION("""COMPUTED_VALUE"""),161.57)</f>
        <v>161.57</v>
      </c>
      <c r="C2391" s="1">
        <f>IFERROR(__xludf.DUMMYFUNCTION("""COMPUTED_VALUE"""),163.28)</f>
        <v>163.28</v>
      </c>
      <c r="D2391" s="1">
        <f>IFERROR(__xludf.DUMMYFUNCTION("""COMPUTED_VALUE"""),161.11)</f>
        <v>161.11</v>
      </c>
      <c r="E2391" s="1">
        <f>IFERROR(__xludf.DUMMYFUNCTION("""COMPUTED_VALUE"""),162.41)</f>
        <v>162.41</v>
      </c>
      <c r="F2391" s="1">
        <f>IFERROR(__xludf.DUMMYFUNCTION("""COMPUTED_VALUE"""),43694.0)</f>
        <v>43694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IFERROR(__xludf.DUMMYFUNCTION("""COMPUTED_VALUE"""),162.99)</f>
        <v>162.99</v>
      </c>
      <c r="C2392" s="1">
        <f>IFERROR(__xludf.DUMMYFUNCTION("""COMPUTED_VALUE"""),166.66)</f>
        <v>166.66</v>
      </c>
      <c r="D2392" s="1">
        <f>IFERROR(__xludf.DUMMYFUNCTION("""COMPUTED_VALUE"""),162.99)</f>
        <v>162.99</v>
      </c>
      <c r="E2392" s="1">
        <f>IFERROR(__xludf.DUMMYFUNCTION("""COMPUTED_VALUE"""),163.91)</f>
        <v>163.91</v>
      </c>
      <c r="F2392" s="1">
        <f>IFERROR(__xludf.DUMMYFUNCTION("""COMPUTED_VALUE"""),29876.0)</f>
        <v>29876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IFERROR(__xludf.DUMMYFUNCTION("""COMPUTED_VALUE"""),163.44)</f>
        <v>163.44</v>
      </c>
      <c r="C2393" s="1">
        <f>IFERROR(__xludf.DUMMYFUNCTION("""COMPUTED_VALUE"""),164.43)</f>
        <v>164.43</v>
      </c>
      <c r="D2393" s="1">
        <f>IFERROR(__xludf.DUMMYFUNCTION("""COMPUTED_VALUE"""),162.14)</f>
        <v>162.14</v>
      </c>
      <c r="E2393" s="1">
        <f>IFERROR(__xludf.DUMMYFUNCTION("""COMPUTED_VALUE"""),163.8)</f>
        <v>163.8</v>
      </c>
      <c r="F2393" s="1">
        <f>IFERROR(__xludf.DUMMYFUNCTION("""COMPUTED_VALUE"""),30127.0)</f>
        <v>30127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IFERROR(__xludf.DUMMYFUNCTION("""COMPUTED_VALUE"""),163.82)</f>
        <v>163.82</v>
      </c>
      <c r="C2394" s="1">
        <f>IFERROR(__xludf.DUMMYFUNCTION("""COMPUTED_VALUE"""),164.04)</f>
        <v>164.04</v>
      </c>
      <c r="D2394" s="1">
        <f>IFERROR(__xludf.DUMMYFUNCTION("""COMPUTED_VALUE"""),162.0)</f>
        <v>162</v>
      </c>
      <c r="E2394" s="1">
        <f>IFERROR(__xludf.DUMMYFUNCTION("""COMPUTED_VALUE"""),163.32)</f>
        <v>163.32</v>
      </c>
      <c r="F2394" s="1">
        <f>IFERROR(__xludf.DUMMYFUNCTION("""COMPUTED_VALUE"""),58696.0)</f>
        <v>58696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IFERROR(__xludf.DUMMYFUNCTION("""COMPUTED_VALUE"""),163.22)</f>
        <v>163.22</v>
      </c>
      <c r="C2395" s="1">
        <f>IFERROR(__xludf.DUMMYFUNCTION("""COMPUTED_VALUE"""),164.0)</f>
        <v>164</v>
      </c>
      <c r="D2395" s="1">
        <f>IFERROR(__xludf.DUMMYFUNCTION("""COMPUTED_VALUE"""),162.65)</f>
        <v>162.65</v>
      </c>
      <c r="E2395" s="1">
        <f>IFERROR(__xludf.DUMMYFUNCTION("""COMPUTED_VALUE"""),162.93)</f>
        <v>162.93</v>
      </c>
      <c r="F2395" s="1">
        <f>IFERROR(__xludf.DUMMYFUNCTION("""COMPUTED_VALUE"""),74926.0)</f>
        <v>74926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IFERROR(__xludf.DUMMYFUNCTION("""COMPUTED_VALUE"""),163.14)</f>
        <v>163.14</v>
      </c>
      <c r="C2396" s="1">
        <f>IFERROR(__xludf.DUMMYFUNCTION("""COMPUTED_VALUE"""),164.73)</f>
        <v>164.73</v>
      </c>
      <c r="D2396" s="1">
        <f>IFERROR(__xludf.DUMMYFUNCTION("""COMPUTED_VALUE"""),162.22)</f>
        <v>162.22</v>
      </c>
      <c r="E2396" s="1">
        <f>IFERROR(__xludf.DUMMYFUNCTION("""COMPUTED_VALUE"""),163.65)</f>
        <v>163.65</v>
      </c>
      <c r="F2396" s="1">
        <f>IFERROR(__xludf.DUMMYFUNCTION("""COMPUTED_VALUE"""),62022.0)</f>
        <v>62022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IFERROR(__xludf.DUMMYFUNCTION("""COMPUTED_VALUE"""),164.1)</f>
        <v>164.1</v>
      </c>
      <c r="C2397" s="1">
        <f>IFERROR(__xludf.DUMMYFUNCTION("""COMPUTED_VALUE"""),164.29)</f>
        <v>164.29</v>
      </c>
      <c r="D2397" s="1">
        <f>IFERROR(__xludf.DUMMYFUNCTION("""COMPUTED_VALUE"""),162.43)</f>
        <v>162.43</v>
      </c>
      <c r="E2397" s="1">
        <f>IFERROR(__xludf.DUMMYFUNCTION("""COMPUTED_VALUE"""),163.24)</f>
        <v>163.24</v>
      </c>
      <c r="F2397" s="1">
        <f>IFERROR(__xludf.DUMMYFUNCTION("""COMPUTED_VALUE"""),42782.0)</f>
        <v>42782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IFERROR(__xludf.DUMMYFUNCTION("""COMPUTED_VALUE"""),163.63)</f>
        <v>163.63</v>
      </c>
      <c r="C2398" s="1">
        <f>IFERROR(__xludf.DUMMYFUNCTION("""COMPUTED_VALUE"""),164.63)</f>
        <v>164.63</v>
      </c>
      <c r="D2398" s="1">
        <f>IFERROR(__xludf.DUMMYFUNCTION("""COMPUTED_VALUE"""),162.02)</f>
        <v>162.02</v>
      </c>
      <c r="E2398" s="1">
        <f>IFERROR(__xludf.DUMMYFUNCTION("""COMPUTED_VALUE"""),163.89)</f>
        <v>163.89</v>
      </c>
      <c r="F2398" s="1">
        <f>IFERROR(__xludf.DUMMYFUNCTION("""COMPUTED_VALUE"""),60461.0)</f>
        <v>60461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IFERROR(__xludf.DUMMYFUNCTION("""COMPUTED_VALUE"""),163.83)</f>
        <v>163.83</v>
      </c>
      <c r="C2399" s="1">
        <f>IFERROR(__xludf.DUMMYFUNCTION("""COMPUTED_VALUE"""),164.63)</f>
        <v>164.63</v>
      </c>
      <c r="D2399" s="1">
        <f>IFERROR(__xludf.DUMMYFUNCTION("""COMPUTED_VALUE"""),162.63)</f>
        <v>162.63</v>
      </c>
      <c r="E2399" s="1">
        <f>IFERROR(__xludf.DUMMYFUNCTION("""COMPUTED_VALUE"""),162.95)</f>
        <v>162.95</v>
      </c>
      <c r="F2399" s="1">
        <f>IFERROR(__xludf.DUMMYFUNCTION("""COMPUTED_VALUE"""),73890.0)</f>
        <v>73890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IFERROR(__xludf.DUMMYFUNCTION("""COMPUTED_VALUE"""),163.21)</f>
        <v>163.21</v>
      </c>
      <c r="C2400" s="1">
        <f>IFERROR(__xludf.DUMMYFUNCTION("""COMPUTED_VALUE"""),163.86)</f>
        <v>163.86</v>
      </c>
      <c r="D2400" s="1">
        <f>IFERROR(__xludf.DUMMYFUNCTION("""COMPUTED_VALUE"""),162.01)</f>
        <v>162.01</v>
      </c>
      <c r="E2400" s="1">
        <f>IFERROR(__xludf.DUMMYFUNCTION("""COMPUTED_VALUE"""),162.87)</f>
        <v>162.87</v>
      </c>
      <c r="F2400" s="1">
        <f>IFERROR(__xludf.DUMMYFUNCTION("""COMPUTED_VALUE"""),65509.0)</f>
        <v>65509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IFERROR(__xludf.DUMMYFUNCTION("""COMPUTED_VALUE"""),163.16)</f>
        <v>163.16</v>
      </c>
      <c r="C2401" s="1">
        <f>IFERROR(__xludf.DUMMYFUNCTION("""COMPUTED_VALUE"""),164.8)</f>
        <v>164.8</v>
      </c>
      <c r="D2401" s="1">
        <f>IFERROR(__xludf.DUMMYFUNCTION("""COMPUTED_VALUE"""),162.81)</f>
        <v>162.81</v>
      </c>
      <c r="E2401" s="1">
        <f>IFERROR(__xludf.DUMMYFUNCTION("""COMPUTED_VALUE"""),163.66)</f>
        <v>163.66</v>
      </c>
      <c r="F2401" s="1">
        <f>IFERROR(__xludf.DUMMYFUNCTION("""COMPUTED_VALUE"""),45402.0)</f>
        <v>45402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IFERROR(__xludf.DUMMYFUNCTION("""COMPUTED_VALUE"""),163.92)</f>
        <v>163.92</v>
      </c>
      <c r="C2402" s="1">
        <f>IFERROR(__xludf.DUMMYFUNCTION("""COMPUTED_VALUE"""),165.68)</f>
        <v>165.68</v>
      </c>
      <c r="D2402" s="1">
        <f>IFERROR(__xludf.DUMMYFUNCTION("""COMPUTED_VALUE"""),163.55)</f>
        <v>163.55</v>
      </c>
      <c r="E2402" s="1">
        <f>IFERROR(__xludf.DUMMYFUNCTION("""COMPUTED_VALUE"""),165.25)</f>
        <v>165.25</v>
      </c>
      <c r="F2402" s="1">
        <f>IFERROR(__xludf.DUMMYFUNCTION("""COMPUTED_VALUE"""),34558.0)</f>
        <v>34558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IFERROR(__xludf.DUMMYFUNCTION("""COMPUTED_VALUE"""),164.85)</f>
        <v>164.85</v>
      </c>
      <c r="C2403" s="1">
        <f>IFERROR(__xludf.DUMMYFUNCTION("""COMPUTED_VALUE"""),166.35)</f>
        <v>166.35</v>
      </c>
      <c r="D2403" s="1">
        <f>IFERROR(__xludf.DUMMYFUNCTION("""COMPUTED_VALUE"""),163.73)</f>
        <v>163.73</v>
      </c>
      <c r="E2403" s="1">
        <f>IFERROR(__xludf.DUMMYFUNCTION("""COMPUTED_VALUE"""),164.07)</f>
        <v>164.07</v>
      </c>
      <c r="F2403" s="1">
        <f>IFERROR(__xludf.DUMMYFUNCTION("""COMPUTED_VALUE"""),56934.0)</f>
        <v>56934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IFERROR(__xludf.DUMMYFUNCTION("""COMPUTED_VALUE"""),164.44)</f>
        <v>164.44</v>
      </c>
      <c r="C2404" s="1">
        <f>IFERROR(__xludf.DUMMYFUNCTION("""COMPUTED_VALUE"""),164.82)</f>
        <v>164.82</v>
      </c>
      <c r="D2404" s="1">
        <f>IFERROR(__xludf.DUMMYFUNCTION("""COMPUTED_VALUE"""),162.97)</f>
        <v>162.97</v>
      </c>
      <c r="E2404" s="1">
        <f>IFERROR(__xludf.DUMMYFUNCTION("""COMPUTED_VALUE"""),163.56)</f>
        <v>163.56</v>
      </c>
      <c r="F2404" s="1">
        <f>IFERROR(__xludf.DUMMYFUNCTION("""COMPUTED_VALUE"""),31767.0)</f>
        <v>31767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IFERROR(__xludf.DUMMYFUNCTION("""COMPUTED_VALUE"""),163.65)</f>
        <v>163.65</v>
      </c>
      <c r="C2405" s="1">
        <f>IFERROR(__xludf.DUMMYFUNCTION("""COMPUTED_VALUE"""),165.1)</f>
        <v>165.1</v>
      </c>
      <c r="D2405" s="1">
        <f>IFERROR(__xludf.DUMMYFUNCTION("""COMPUTED_VALUE"""),162.01)</f>
        <v>162.01</v>
      </c>
      <c r="E2405" s="1">
        <f>IFERROR(__xludf.DUMMYFUNCTION("""COMPUTED_VALUE"""),162.99)</f>
        <v>162.99</v>
      </c>
      <c r="F2405" s="1">
        <f>IFERROR(__xludf.DUMMYFUNCTION("""COMPUTED_VALUE"""),54737.0)</f>
        <v>54737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IFERROR(__xludf.DUMMYFUNCTION("""COMPUTED_VALUE"""),162.67)</f>
        <v>162.67</v>
      </c>
      <c r="C2406" s="1">
        <f>IFERROR(__xludf.DUMMYFUNCTION("""COMPUTED_VALUE"""),162.67)</f>
        <v>162.67</v>
      </c>
      <c r="D2406" s="1">
        <f>IFERROR(__xludf.DUMMYFUNCTION("""COMPUTED_VALUE"""),160.7)</f>
        <v>160.7</v>
      </c>
      <c r="E2406" s="1">
        <f>IFERROR(__xludf.DUMMYFUNCTION("""COMPUTED_VALUE"""),161.97)</f>
        <v>161.97</v>
      </c>
      <c r="F2406" s="1">
        <f>IFERROR(__xludf.DUMMYFUNCTION("""COMPUTED_VALUE"""),87594.0)</f>
        <v>87594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IFERROR(__xludf.DUMMYFUNCTION("""COMPUTED_VALUE"""),162.34)</f>
        <v>162.34</v>
      </c>
      <c r="C2407" s="1">
        <f>IFERROR(__xludf.DUMMYFUNCTION("""COMPUTED_VALUE"""),164.27)</f>
        <v>164.27</v>
      </c>
      <c r="D2407" s="1">
        <f>IFERROR(__xludf.DUMMYFUNCTION("""COMPUTED_VALUE"""),161.22)</f>
        <v>161.22</v>
      </c>
      <c r="E2407" s="1">
        <f>IFERROR(__xludf.DUMMYFUNCTION("""COMPUTED_VALUE"""),161.58)</f>
        <v>161.58</v>
      </c>
      <c r="F2407" s="1">
        <f>IFERROR(__xludf.DUMMYFUNCTION("""COMPUTED_VALUE"""),61573.0)</f>
        <v>61573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IFERROR(__xludf.DUMMYFUNCTION("""COMPUTED_VALUE"""),161.9)</f>
        <v>161.9</v>
      </c>
      <c r="C2408" s="1">
        <f>IFERROR(__xludf.DUMMYFUNCTION("""COMPUTED_VALUE"""),165.42)</f>
        <v>165.42</v>
      </c>
      <c r="D2408" s="1">
        <f>IFERROR(__xludf.DUMMYFUNCTION("""COMPUTED_VALUE"""),161.86)</f>
        <v>161.86</v>
      </c>
      <c r="E2408" s="1">
        <f>IFERROR(__xludf.DUMMYFUNCTION("""COMPUTED_VALUE"""),163.87)</f>
        <v>163.87</v>
      </c>
      <c r="F2408" s="1">
        <f>IFERROR(__xludf.DUMMYFUNCTION("""COMPUTED_VALUE"""),51031.0)</f>
        <v>51031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IFERROR(__xludf.DUMMYFUNCTION("""COMPUTED_VALUE"""),164.04)</f>
        <v>164.04</v>
      </c>
      <c r="C2409" s="1">
        <f>IFERROR(__xludf.DUMMYFUNCTION("""COMPUTED_VALUE"""),165.05)</f>
        <v>165.05</v>
      </c>
      <c r="D2409" s="1">
        <f>IFERROR(__xludf.DUMMYFUNCTION("""COMPUTED_VALUE"""),162.04)</f>
        <v>162.04</v>
      </c>
      <c r="E2409" s="1">
        <f>IFERROR(__xludf.DUMMYFUNCTION("""COMPUTED_VALUE"""),163.2)</f>
        <v>163.2</v>
      </c>
      <c r="F2409" s="1">
        <f>IFERROR(__xludf.DUMMYFUNCTION("""COMPUTED_VALUE"""),87634.0)</f>
        <v>87634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IFERROR(__xludf.DUMMYFUNCTION("""COMPUTED_VALUE"""),171.26)</f>
        <v>171.26</v>
      </c>
      <c r="C2410" s="1">
        <f>IFERROR(__xludf.DUMMYFUNCTION("""COMPUTED_VALUE"""),188.11)</f>
        <v>188.11</v>
      </c>
      <c r="D2410" s="1">
        <f>IFERROR(__xludf.DUMMYFUNCTION("""COMPUTED_VALUE"""),168.74)</f>
        <v>168.74</v>
      </c>
      <c r="E2410" s="1">
        <f>IFERROR(__xludf.DUMMYFUNCTION("""COMPUTED_VALUE"""),185.12)</f>
        <v>185.12</v>
      </c>
      <c r="F2410" s="1">
        <f>IFERROR(__xludf.DUMMYFUNCTION("""COMPUTED_VALUE"""),348737.0)</f>
        <v>348737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IFERROR(__xludf.DUMMYFUNCTION("""COMPUTED_VALUE"""),187.51)</f>
        <v>187.51</v>
      </c>
      <c r="C2411" s="1">
        <f>IFERROR(__xludf.DUMMYFUNCTION("""COMPUTED_VALUE"""),191.37)</f>
        <v>191.37</v>
      </c>
      <c r="D2411" s="1">
        <f>IFERROR(__xludf.DUMMYFUNCTION("""COMPUTED_VALUE"""),184.78)</f>
        <v>184.78</v>
      </c>
      <c r="E2411" s="1">
        <f>IFERROR(__xludf.DUMMYFUNCTION("""COMPUTED_VALUE"""),185.84)</f>
        <v>185.84</v>
      </c>
      <c r="F2411" s="1">
        <f>IFERROR(__xludf.DUMMYFUNCTION("""COMPUTED_VALUE"""),179534.0)</f>
        <v>179534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IFERROR(__xludf.DUMMYFUNCTION("""COMPUTED_VALUE"""),185.84)</f>
        <v>185.84</v>
      </c>
      <c r="C2412" s="1">
        <f>IFERROR(__xludf.DUMMYFUNCTION("""COMPUTED_VALUE"""),187.27)</f>
        <v>187.27</v>
      </c>
      <c r="D2412" s="1">
        <f>IFERROR(__xludf.DUMMYFUNCTION("""COMPUTED_VALUE"""),180.55)</f>
        <v>180.55</v>
      </c>
      <c r="E2412" s="1">
        <f>IFERROR(__xludf.DUMMYFUNCTION("""COMPUTED_VALUE"""),181.29)</f>
        <v>181.29</v>
      </c>
      <c r="F2412" s="1">
        <f>IFERROR(__xludf.DUMMYFUNCTION("""COMPUTED_VALUE"""),140734.0)</f>
        <v>140734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IFERROR(__xludf.DUMMYFUNCTION("""COMPUTED_VALUE"""),180.8)</f>
        <v>180.8</v>
      </c>
      <c r="C2413" s="1">
        <f>IFERROR(__xludf.DUMMYFUNCTION("""COMPUTED_VALUE"""),185.88)</f>
        <v>185.88</v>
      </c>
      <c r="D2413" s="1">
        <f>IFERROR(__xludf.DUMMYFUNCTION("""COMPUTED_VALUE"""),180.02)</f>
        <v>180.02</v>
      </c>
      <c r="E2413" s="1">
        <f>IFERROR(__xludf.DUMMYFUNCTION("""COMPUTED_VALUE"""),182.12)</f>
        <v>182.12</v>
      </c>
      <c r="F2413" s="1">
        <f>IFERROR(__xludf.DUMMYFUNCTION("""COMPUTED_VALUE"""),150590.0)</f>
        <v>150590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IFERROR(__xludf.DUMMYFUNCTION("""COMPUTED_VALUE"""),181.09)</f>
        <v>181.09</v>
      </c>
      <c r="C2414" s="1">
        <f>IFERROR(__xludf.DUMMYFUNCTION("""COMPUTED_VALUE"""),184.12)</f>
        <v>184.12</v>
      </c>
      <c r="D2414" s="1">
        <f>IFERROR(__xludf.DUMMYFUNCTION("""COMPUTED_VALUE"""),180.31)</f>
        <v>180.31</v>
      </c>
      <c r="E2414" s="1">
        <f>IFERROR(__xludf.DUMMYFUNCTION("""COMPUTED_VALUE"""),181.74)</f>
        <v>181.74</v>
      </c>
      <c r="F2414" s="1">
        <f>IFERROR(__xludf.DUMMYFUNCTION("""COMPUTED_VALUE"""),98131.0)</f>
        <v>98131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IFERROR(__xludf.DUMMYFUNCTION("""COMPUTED_VALUE"""),182.0)</f>
        <v>182</v>
      </c>
      <c r="C2415" s="1">
        <f>IFERROR(__xludf.DUMMYFUNCTION("""COMPUTED_VALUE"""),184.14)</f>
        <v>184.14</v>
      </c>
      <c r="D2415" s="1">
        <f>IFERROR(__xludf.DUMMYFUNCTION("""COMPUTED_VALUE"""),181.31)</f>
        <v>181.31</v>
      </c>
      <c r="E2415" s="1">
        <f>IFERROR(__xludf.DUMMYFUNCTION("""COMPUTED_VALUE"""),182.07)</f>
        <v>182.07</v>
      </c>
      <c r="F2415" s="1">
        <f>IFERROR(__xludf.DUMMYFUNCTION("""COMPUTED_VALUE"""),93905.0)</f>
        <v>93905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IFERROR(__xludf.DUMMYFUNCTION("""COMPUTED_VALUE"""),181.74)</f>
        <v>181.74</v>
      </c>
      <c r="C2416" s="1">
        <f>IFERROR(__xludf.DUMMYFUNCTION("""COMPUTED_VALUE"""),186.19)</f>
        <v>186.19</v>
      </c>
      <c r="D2416" s="1">
        <f>IFERROR(__xludf.DUMMYFUNCTION("""COMPUTED_VALUE"""),180.36)</f>
        <v>180.36</v>
      </c>
      <c r="E2416" s="1">
        <f>IFERROR(__xludf.DUMMYFUNCTION("""COMPUTED_VALUE"""),184.87)</f>
        <v>184.87</v>
      </c>
      <c r="F2416" s="1">
        <f>IFERROR(__xludf.DUMMYFUNCTION("""COMPUTED_VALUE"""),72395.0)</f>
        <v>72395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IFERROR(__xludf.DUMMYFUNCTION("""COMPUTED_VALUE"""),185.43)</f>
        <v>185.43</v>
      </c>
      <c r="C2417" s="1">
        <f>IFERROR(__xludf.DUMMYFUNCTION("""COMPUTED_VALUE"""),187.19)</f>
        <v>187.19</v>
      </c>
      <c r="D2417" s="1">
        <f>IFERROR(__xludf.DUMMYFUNCTION("""COMPUTED_VALUE"""),184.62)</f>
        <v>184.62</v>
      </c>
      <c r="E2417" s="1">
        <f>IFERROR(__xludf.DUMMYFUNCTION("""COMPUTED_VALUE"""),186.15)</f>
        <v>186.15</v>
      </c>
      <c r="F2417" s="1">
        <f>IFERROR(__xludf.DUMMYFUNCTION("""COMPUTED_VALUE"""),58209.0)</f>
        <v>58209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IFERROR(__xludf.DUMMYFUNCTION("""COMPUTED_VALUE"""),188.4)</f>
        <v>188.4</v>
      </c>
      <c r="C2418" s="1">
        <f>IFERROR(__xludf.DUMMYFUNCTION("""COMPUTED_VALUE"""),188.4)</f>
        <v>188.4</v>
      </c>
      <c r="D2418" s="1">
        <f>IFERROR(__xludf.DUMMYFUNCTION("""COMPUTED_VALUE"""),185.03)</f>
        <v>185.03</v>
      </c>
      <c r="E2418" s="1">
        <f>IFERROR(__xludf.DUMMYFUNCTION("""COMPUTED_VALUE"""),186.43)</f>
        <v>186.43</v>
      </c>
      <c r="F2418" s="1">
        <f>IFERROR(__xludf.DUMMYFUNCTION("""COMPUTED_VALUE"""),92338.0)</f>
        <v>92338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IFERROR(__xludf.DUMMYFUNCTION("""COMPUTED_VALUE"""),186.11)</f>
        <v>186.11</v>
      </c>
      <c r="C2419" s="1">
        <f>IFERROR(__xludf.DUMMYFUNCTION("""COMPUTED_VALUE"""),188.97)</f>
        <v>188.97</v>
      </c>
      <c r="D2419" s="1">
        <f>IFERROR(__xludf.DUMMYFUNCTION("""COMPUTED_VALUE"""),185.96)</f>
        <v>185.96</v>
      </c>
      <c r="E2419" s="1">
        <f>IFERROR(__xludf.DUMMYFUNCTION("""COMPUTED_VALUE"""),188.52)</f>
        <v>188.52</v>
      </c>
      <c r="F2419" s="1">
        <f>IFERROR(__xludf.DUMMYFUNCTION("""COMPUTED_VALUE"""),60451.0)</f>
        <v>60451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IFERROR(__xludf.DUMMYFUNCTION("""COMPUTED_VALUE"""),188.31)</f>
        <v>188.31</v>
      </c>
      <c r="C2420" s="1">
        <f>IFERROR(__xludf.DUMMYFUNCTION("""COMPUTED_VALUE"""),190.7)</f>
        <v>190.7</v>
      </c>
      <c r="D2420" s="1">
        <f>IFERROR(__xludf.DUMMYFUNCTION("""COMPUTED_VALUE"""),186.98)</f>
        <v>186.98</v>
      </c>
      <c r="E2420" s="1">
        <f>IFERROR(__xludf.DUMMYFUNCTION("""COMPUTED_VALUE"""),189.93)</f>
        <v>189.93</v>
      </c>
      <c r="F2420" s="1">
        <f>IFERROR(__xludf.DUMMYFUNCTION("""COMPUTED_VALUE"""),83769.0)</f>
        <v>83769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IFERROR(__xludf.DUMMYFUNCTION("""COMPUTED_VALUE"""),188.54)</f>
        <v>188.54</v>
      </c>
      <c r="C2421" s="1">
        <f>IFERROR(__xludf.DUMMYFUNCTION("""COMPUTED_VALUE"""),189.96)</f>
        <v>189.96</v>
      </c>
      <c r="D2421" s="1">
        <f>IFERROR(__xludf.DUMMYFUNCTION("""COMPUTED_VALUE"""),186.38)</f>
        <v>186.38</v>
      </c>
      <c r="E2421" s="1">
        <f>IFERROR(__xludf.DUMMYFUNCTION("""COMPUTED_VALUE"""),187.27)</f>
        <v>187.27</v>
      </c>
      <c r="F2421" s="1">
        <f>IFERROR(__xludf.DUMMYFUNCTION("""COMPUTED_VALUE"""),109256.0)</f>
        <v>109256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IFERROR(__xludf.DUMMYFUNCTION("""COMPUTED_VALUE"""),188.0)</f>
        <v>188</v>
      </c>
      <c r="C2422" s="1">
        <f>IFERROR(__xludf.DUMMYFUNCTION("""COMPUTED_VALUE"""),193.26)</f>
        <v>193.26</v>
      </c>
      <c r="D2422" s="1">
        <f>IFERROR(__xludf.DUMMYFUNCTION("""COMPUTED_VALUE"""),186.41)</f>
        <v>186.41</v>
      </c>
      <c r="E2422" s="1">
        <f>IFERROR(__xludf.DUMMYFUNCTION("""COMPUTED_VALUE"""),192.19)</f>
        <v>192.19</v>
      </c>
      <c r="F2422" s="1">
        <f>IFERROR(__xludf.DUMMYFUNCTION("""COMPUTED_VALUE"""),84918.0)</f>
        <v>84918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IFERROR(__xludf.DUMMYFUNCTION("""COMPUTED_VALUE"""),193.28)</f>
        <v>193.28</v>
      </c>
      <c r="C2423" s="1">
        <f>IFERROR(__xludf.DUMMYFUNCTION("""COMPUTED_VALUE"""),194.76)</f>
        <v>194.76</v>
      </c>
      <c r="D2423" s="1">
        <f>IFERROR(__xludf.DUMMYFUNCTION("""COMPUTED_VALUE"""),192.21)</f>
        <v>192.21</v>
      </c>
      <c r="E2423" s="1">
        <f>IFERROR(__xludf.DUMMYFUNCTION("""COMPUTED_VALUE"""),193.51)</f>
        <v>193.51</v>
      </c>
      <c r="F2423" s="1">
        <f>IFERROR(__xludf.DUMMYFUNCTION("""COMPUTED_VALUE"""),95175.0)</f>
        <v>95175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IFERROR(__xludf.DUMMYFUNCTION("""COMPUTED_VALUE"""),194.33)</f>
        <v>194.33</v>
      </c>
      <c r="C2424" s="1">
        <f>IFERROR(__xludf.DUMMYFUNCTION("""COMPUTED_VALUE"""),195.92)</f>
        <v>195.92</v>
      </c>
      <c r="D2424" s="1">
        <f>IFERROR(__xludf.DUMMYFUNCTION("""COMPUTED_VALUE"""),193.48)</f>
        <v>193.48</v>
      </c>
      <c r="E2424" s="1">
        <f>IFERROR(__xludf.DUMMYFUNCTION("""COMPUTED_VALUE"""),195.09)</f>
        <v>195.09</v>
      </c>
      <c r="F2424" s="1">
        <f>IFERROR(__xludf.DUMMYFUNCTION("""COMPUTED_VALUE"""),66863.0)</f>
        <v>66863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IFERROR(__xludf.DUMMYFUNCTION("""COMPUTED_VALUE"""),194.7)</f>
        <v>194.7</v>
      </c>
      <c r="C2425" s="1">
        <f>IFERROR(__xludf.DUMMYFUNCTION("""COMPUTED_VALUE"""),196.74)</f>
        <v>196.74</v>
      </c>
      <c r="D2425" s="1">
        <f>IFERROR(__xludf.DUMMYFUNCTION("""COMPUTED_VALUE"""),190.97)</f>
        <v>190.97</v>
      </c>
      <c r="E2425" s="1">
        <f>IFERROR(__xludf.DUMMYFUNCTION("""COMPUTED_VALUE"""),191.13)</f>
        <v>191.13</v>
      </c>
      <c r="F2425" s="1">
        <f>IFERROR(__xludf.DUMMYFUNCTION("""COMPUTED_VALUE"""),136798.0)</f>
        <v>136798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IFERROR(__xludf.DUMMYFUNCTION("""COMPUTED_VALUE"""),191.98)</f>
        <v>191.98</v>
      </c>
      <c r="C2426" s="1">
        <f>IFERROR(__xludf.DUMMYFUNCTION("""COMPUTED_VALUE"""),192.56)</f>
        <v>192.56</v>
      </c>
      <c r="D2426" s="1">
        <f>IFERROR(__xludf.DUMMYFUNCTION("""COMPUTED_VALUE"""),188.5)</f>
        <v>188.5</v>
      </c>
      <c r="E2426" s="1">
        <f>IFERROR(__xludf.DUMMYFUNCTION("""COMPUTED_VALUE"""),189.35)</f>
        <v>189.35</v>
      </c>
      <c r="F2426" s="1">
        <f>IFERROR(__xludf.DUMMYFUNCTION("""COMPUTED_VALUE"""),101983.0)</f>
        <v>101983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IFERROR(__xludf.DUMMYFUNCTION("""COMPUTED_VALUE"""),188.9)</f>
        <v>188.9</v>
      </c>
      <c r="C2427" s="1">
        <f>IFERROR(__xludf.DUMMYFUNCTION("""COMPUTED_VALUE"""),190.39)</f>
        <v>190.39</v>
      </c>
      <c r="D2427" s="1">
        <f>IFERROR(__xludf.DUMMYFUNCTION("""COMPUTED_VALUE"""),187.98)</f>
        <v>187.98</v>
      </c>
      <c r="E2427" s="1">
        <f>IFERROR(__xludf.DUMMYFUNCTION("""COMPUTED_VALUE"""),189.32)</f>
        <v>189.32</v>
      </c>
      <c r="F2427" s="1">
        <f>IFERROR(__xludf.DUMMYFUNCTION("""COMPUTED_VALUE"""),92698.0)</f>
        <v>92698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IFERROR(__xludf.DUMMYFUNCTION("""COMPUTED_VALUE"""),189.22)</f>
        <v>189.22</v>
      </c>
      <c r="C2428" s="1">
        <f>IFERROR(__xludf.DUMMYFUNCTION("""COMPUTED_VALUE"""),190.35)</f>
        <v>190.35</v>
      </c>
      <c r="D2428" s="1">
        <f>IFERROR(__xludf.DUMMYFUNCTION("""COMPUTED_VALUE"""),185.59)</f>
        <v>185.59</v>
      </c>
      <c r="E2428" s="1">
        <f>IFERROR(__xludf.DUMMYFUNCTION("""COMPUTED_VALUE"""),186.15)</f>
        <v>186.15</v>
      </c>
      <c r="F2428" s="1">
        <f>IFERROR(__xludf.DUMMYFUNCTION("""COMPUTED_VALUE"""),75522.0)</f>
        <v>75522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IFERROR(__xludf.DUMMYFUNCTION("""COMPUTED_VALUE"""),187.11)</f>
        <v>187.11</v>
      </c>
      <c r="C2429" s="1">
        <f>IFERROR(__xludf.DUMMYFUNCTION("""COMPUTED_VALUE"""),191.4)</f>
        <v>191.4</v>
      </c>
      <c r="D2429" s="1">
        <f>IFERROR(__xludf.DUMMYFUNCTION("""COMPUTED_VALUE"""),186.7)</f>
        <v>186.7</v>
      </c>
      <c r="E2429" s="1">
        <f>IFERROR(__xludf.DUMMYFUNCTION("""COMPUTED_VALUE"""),191.23)</f>
        <v>191.23</v>
      </c>
      <c r="F2429" s="1">
        <f>IFERROR(__xludf.DUMMYFUNCTION("""COMPUTED_VALUE"""),81888.0)</f>
        <v>81888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IFERROR(__xludf.DUMMYFUNCTION("""COMPUTED_VALUE"""),191.56)</f>
        <v>191.56</v>
      </c>
      <c r="C2430" s="1">
        <f>IFERROR(__xludf.DUMMYFUNCTION("""COMPUTED_VALUE"""),193.35)</f>
        <v>193.35</v>
      </c>
      <c r="D2430" s="1">
        <f>IFERROR(__xludf.DUMMYFUNCTION("""COMPUTED_VALUE"""),187.11)</f>
        <v>187.11</v>
      </c>
      <c r="E2430" s="1">
        <f>IFERROR(__xludf.DUMMYFUNCTION("""COMPUTED_VALUE"""),188.68)</f>
        <v>188.68</v>
      </c>
      <c r="F2430" s="1">
        <f>IFERROR(__xludf.DUMMYFUNCTION("""COMPUTED_VALUE"""),85299.0)</f>
        <v>85299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IFERROR(__xludf.DUMMYFUNCTION("""COMPUTED_VALUE"""),188.3)</f>
        <v>188.3</v>
      </c>
      <c r="C2431" s="1">
        <f>IFERROR(__xludf.DUMMYFUNCTION("""COMPUTED_VALUE"""),190.99)</f>
        <v>190.99</v>
      </c>
      <c r="D2431" s="1">
        <f>IFERROR(__xludf.DUMMYFUNCTION("""COMPUTED_VALUE"""),186.21)</f>
        <v>186.21</v>
      </c>
      <c r="E2431" s="1">
        <f>IFERROR(__xludf.DUMMYFUNCTION("""COMPUTED_VALUE"""),189.06)</f>
        <v>189.06</v>
      </c>
      <c r="F2431" s="1">
        <f>IFERROR(__xludf.DUMMYFUNCTION("""COMPUTED_VALUE"""),67790.0)</f>
        <v>67790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IFERROR(__xludf.DUMMYFUNCTION("""COMPUTED_VALUE"""),190.18)</f>
        <v>190.18</v>
      </c>
      <c r="C2432" s="1">
        <f>IFERROR(__xludf.DUMMYFUNCTION("""COMPUTED_VALUE"""),193.45)</f>
        <v>193.45</v>
      </c>
      <c r="D2432" s="1">
        <f>IFERROR(__xludf.DUMMYFUNCTION("""COMPUTED_VALUE"""),188.52)</f>
        <v>188.52</v>
      </c>
      <c r="E2432" s="1">
        <f>IFERROR(__xludf.DUMMYFUNCTION("""COMPUTED_VALUE"""),191.22)</f>
        <v>191.22</v>
      </c>
      <c r="F2432" s="1">
        <f>IFERROR(__xludf.DUMMYFUNCTION("""COMPUTED_VALUE"""),62366.0)</f>
        <v>62366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IFERROR(__xludf.DUMMYFUNCTION("""COMPUTED_VALUE"""),192.14)</f>
        <v>192.14</v>
      </c>
      <c r="C2433" s="1">
        <f>IFERROR(__xludf.DUMMYFUNCTION("""COMPUTED_VALUE"""),195.01)</f>
        <v>195.01</v>
      </c>
      <c r="D2433" s="1">
        <f>IFERROR(__xludf.DUMMYFUNCTION("""COMPUTED_VALUE"""),190.82)</f>
        <v>190.82</v>
      </c>
      <c r="E2433" s="1">
        <f>IFERROR(__xludf.DUMMYFUNCTION("""COMPUTED_VALUE"""),193.06)</f>
        <v>193.06</v>
      </c>
      <c r="F2433" s="1">
        <f>IFERROR(__xludf.DUMMYFUNCTION("""COMPUTED_VALUE"""),113788.0)</f>
        <v>113788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IFERROR(__xludf.DUMMYFUNCTION("""COMPUTED_VALUE"""),193.17)</f>
        <v>193.17</v>
      </c>
      <c r="C2434" s="1">
        <f>IFERROR(__xludf.DUMMYFUNCTION("""COMPUTED_VALUE"""),196.06)</f>
        <v>196.06</v>
      </c>
      <c r="D2434" s="1">
        <f>IFERROR(__xludf.DUMMYFUNCTION("""COMPUTED_VALUE"""),191.69)</f>
        <v>191.69</v>
      </c>
      <c r="E2434" s="1">
        <f>IFERROR(__xludf.DUMMYFUNCTION("""COMPUTED_VALUE"""),195.51)</f>
        <v>195.51</v>
      </c>
      <c r="F2434" s="1">
        <f>IFERROR(__xludf.DUMMYFUNCTION("""COMPUTED_VALUE"""),94147.0)</f>
        <v>94147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IFERROR(__xludf.DUMMYFUNCTION("""COMPUTED_VALUE"""),196.11)</f>
        <v>196.11</v>
      </c>
      <c r="C2435" s="1">
        <f>IFERROR(__xludf.DUMMYFUNCTION("""COMPUTED_VALUE"""),196.58)</f>
        <v>196.58</v>
      </c>
      <c r="D2435" s="1">
        <f>IFERROR(__xludf.DUMMYFUNCTION("""COMPUTED_VALUE"""),192.48)</f>
        <v>192.48</v>
      </c>
      <c r="E2435" s="1">
        <f>IFERROR(__xludf.DUMMYFUNCTION("""COMPUTED_VALUE"""),192.54)</f>
        <v>192.54</v>
      </c>
      <c r="F2435" s="1">
        <f>IFERROR(__xludf.DUMMYFUNCTION("""COMPUTED_VALUE"""),122324.0)</f>
        <v>122324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IFERROR(__xludf.DUMMYFUNCTION("""COMPUTED_VALUE"""),194.34)</f>
        <v>194.34</v>
      </c>
      <c r="C2436" s="1">
        <f>IFERROR(__xludf.DUMMYFUNCTION("""COMPUTED_VALUE"""),196.5)</f>
        <v>196.5</v>
      </c>
      <c r="D2436" s="1">
        <f>IFERROR(__xludf.DUMMYFUNCTION("""COMPUTED_VALUE"""),192.55)</f>
        <v>192.55</v>
      </c>
      <c r="E2436" s="1">
        <f>IFERROR(__xludf.DUMMYFUNCTION("""COMPUTED_VALUE"""),194.29)</f>
        <v>194.29</v>
      </c>
      <c r="F2436" s="1">
        <f>IFERROR(__xludf.DUMMYFUNCTION("""COMPUTED_VALUE"""),121746.0)</f>
        <v>121746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IFERROR(__xludf.DUMMYFUNCTION("""COMPUTED_VALUE"""),195.0)</f>
        <v>195</v>
      </c>
      <c r="C2437" s="1">
        <f>IFERROR(__xludf.DUMMYFUNCTION("""COMPUTED_VALUE"""),195.56)</f>
        <v>195.56</v>
      </c>
      <c r="D2437" s="1">
        <f>IFERROR(__xludf.DUMMYFUNCTION("""COMPUTED_VALUE"""),193.29)</f>
        <v>193.29</v>
      </c>
      <c r="E2437" s="1">
        <f>IFERROR(__xludf.DUMMYFUNCTION("""COMPUTED_VALUE"""),193.38)</f>
        <v>193.38</v>
      </c>
      <c r="F2437" s="1">
        <f>IFERROR(__xludf.DUMMYFUNCTION("""COMPUTED_VALUE"""),95705.0)</f>
        <v>95705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IFERROR(__xludf.DUMMYFUNCTION("""COMPUTED_VALUE"""),193.72)</f>
        <v>193.72</v>
      </c>
      <c r="C2438" s="1">
        <f>IFERROR(__xludf.DUMMYFUNCTION("""COMPUTED_VALUE"""),193.94)</f>
        <v>193.94</v>
      </c>
      <c r="D2438" s="1">
        <f>IFERROR(__xludf.DUMMYFUNCTION("""COMPUTED_VALUE"""),191.03)</f>
        <v>191.03</v>
      </c>
      <c r="E2438" s="1">
        <f>IFERROR(__xludf.DUMMYFUNCTION("""COMPUTED_VALUE"""),193.42)</f>
        <v>193.42</v>
      </c>
      <c r="F2438" s="1">
        <f>IFERROR(__xludf.DUMMYFUNCTION("""COMPUTED_VALUE"""),97453.0)</f>
        <v>97453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IFERROR(__xludf.DUMMYFUNCTION("""COMPUTED_VALUE"""),193.07)</f>
        <v>193.07</v>
      </c>
      <c r="C2439" s="1">
        <f>IFERROR(__xludf.DUMMYFUNCTION("""COMPUTED_VALUE"""),193.07)</f>
        <v>193.07</v>
      </c>
      <c r="D2439" s="1">
        <f>IFERROR(__xludf.DUMMYFUNCTION("""COMPUTED_VALUE"""),186.76)</f>
        <v>186.76</v>
      </c>
      <c r="E2439" s="1">
        <f>IFERROR(__xludf.DUMMYFUNCTION("""COMPUTED_VALUE"""),187.57)</f>
        <v>187.57</v>
      </c>
      <c r="F2439" s="1">
        <f>IFERROR(__xludf.DUMMYFUNCTION("""COMPUTED_VALUE"""),181098.0)</f>
        <v>181098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IFERROR(__xludf.DUMMYFUNCTION("""COMPUTED_VALUE"""),187.22)</f>
        <v>187.22</v>
      </c>
      <c r="C2440" s="1">
        <f>IFERROR(__xludf.DUMMYFUNCTION("""COMPUTED_VALUE"""),190.03)</f>
        <v>190.03</v>
      </c>
      <c r="D2440" s="1">
        <f>IFERROR(__xludf.DUMMYFUNCTION("""COMPUTED_VALUE"""),186.65)</f>
        <v>186.65</v>
      </c>
      <c r="E2440" s="1">
        <f>IFERROR(__xludf.DUMMYFUNCTION("""COMPUTED_VALUE"""),189.1)</f>
        <v>189.1</v>
      </c>
      <c r="F2440" s="1">
        <f>IFERROR(__xludf.DUMMYFUNCTION("""COMPUTED_VALUE"""),146598.0)</f>
        <v>146598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IFERROR(__xludf.DUMMYFUNCTION("""COMPUTED_VALUE"""),190.04)</f>
        <v>190.04</v>
      </c>
      <c r="C2441" s="1">
        <f>IFERROR(__xludf.DUMMYFUNCTION("""COMPUTED_VALUE"""),190.79)</f>
        <v>190.79</v>
      </c>
      <c r="D2441" s="1">
        <f>IFERROR(__xludf.DUMMYFUNCTION("""COMPUTED_VALUE"""),189.07)</f>
        <v>189.07</v>
      </c>
      <c r="E2441" s="1">
        <f>IFERROR(__xludf.DUMMYFUNCTION("""COMPUTED_VALUE"""),189.6)</f>
        <v>189.6</v>
      </c>
      <c r="F2441" s="1">
        <f>IFERROR(__xludf.DUMMYFUNCTION("""COMPUTED_VALUE"""),102672.0)</f>
        <v>102672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IFERROR(__xludf.DUMMYFUNCTION("""COMPUTED_VALUE"""),189.67)</f>
        <v>189.67</v>
      </c>
      <c r="C2442" s="1">
        <f>IFERROR(__xludf.DUMMYFUNCTION("""COMPUTED_VALUE"""),190.7)</f>
        <v>190.7</v>
      </c>
      <c r="D2442" s="1">
        <f>IFERROR(__xludf.DUMMYFUNCTION("""COMPUTED_VALUE"""),188.6)</f>
        <v>188.6</v>
      </c>
      <c r="E2442" s="1">
        <f>IFERROR(__xludf.DUMMYFUNCTION("""COMPUTED_VALUE"""),189.25)</f>
        <v>189.25</v>
      </c>
      <c r="F2442" s="1">
        <f>IFERROR(__xludf.DUMMYFUNCTION("""COMPUTED_VALUE"""),114170.0)</f>
        <v>114170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IFERROR(__xludf.DUMMYFUNCTION("""COMPUTED_VALUE"""),189.17)</f>
        <v>189.17</v>
      </c>
      <c r="C2443" s="1">
        <f>IFERROR(__xludf.DUMMYFUNCTION("""COMPUTED_VALUE"""),194.58)</f>
        <v>194.58</v>
      </c>
      <c r="D2443" s="1">
        <f>IFERROR(__xludf.DUMMYFUNCTION("""COMPUTED_VALUE"""),188.27)</f>
        <v>188.27</v>
      </c>
      <c r="E2443" s="1">
        <f>IFERROR(__xludf.DUMMYFUNCTION("""COMPUTED_VALUE"""),192.21)</f>
        <v>192.21</v>
      </c>
      <c r="F2443" s="1">
        <f>IFERROR(__xludf.DUMMYFUNCTION("""COMPUTED_VALUE"""),102431.0)</f>
        <v>102431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IFERROR(__xludf.DUMMYFUNCTION("""COMPUTED_VALUE"""),192.0)</f>
        <v>192</v>
      </c>
      <c r="C2444" s="1">
        <f>IFERROR(__xludf.DUMMYFUNCTION("""COMPUTED_VALUE"""),193.89)</f>
        <v>193.89</v>
      </c>
      <c r="D2444" s="1">
        <f>IFERROR(__xludf.DUMMYFUNCTION("""COMPUTED_VALUE"""),191.18)</f>
        <v>191.18</v>
      </c>
      <c r="E2444" s="1">
        <f>IFERROR(__xludf.DUMMYFUNCTION("""COMPUTED_VALUE"""),192.99)</f>
        <v>192.99</v>
      </c>
      <c r="F2444" s="1">
        <f>IFERROR(__xludf.DUMMYFUNCTION("""COMPUTED_VALUE"""),83577.0)</f>
        <v>83577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IFERROR(__xludf.DUMMYFUNCTION("""COMPUTED_VALUE"""),192.62)</f>
        <v>192.62</v>
      </c>
      <c r="C2445" s="1">
        <f>IFERROR(__xludf.DUMMYFUNCTION("""COMPUTED_VALUE"""),192.85)</f>
        <v>192.85</v>
      </c>
      <c r="D2445" s="1">
        <f>IFERROR(__xludf.DUMMYFUNCTION("""COMPUTED_VALUE"""),190.62)</f>
        <v>190.62</v>
      </c>
      <c r="E2445" s="1">
        <f>IFERROR(__xludf.DUMMYFUNCTION("""COMPUTED_VALUE"""),192.11)</f>
        <v>192.11</v>
      </c>
      <c r="F2445" s="1">
        <f>IFERROR(__xludf.DUMMYFUNCTION("""COMPUTED_VALUE"""),83095.0)</f>
        <v>83095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IFERROR(__xludf.DUMMYFUNCTION("""COMPUTED_VALUE"""),191.81)</f>
        <v>191.81</v>
      </c>
      <c r="C2446" s="1">
        <f>IFERROR(__xludf.DUMMYFUNCTION("""COMPUTED_VALUE"""),193.84)</f>
        <v>193.84</v>
      </c>
      <c r="D2446" s="1">
        <f>IFERROR(__xludf.DUMMYFUNCTION("""COMPUTED_VALUE"""),191.8)</f>
        <v>191.8</v>
      </c>
      <c r="E2446" s="1">
        <f>IFERROR(__xludf.DUMMYFUNCTION("""COMPUTED_VALUE"""),192.35)</f>
        <v>192.35</v>
      </c>
      <c r="F2446" s="1">
        <f>IFERROR(__xludf.DUMMYFUNCTION("""COMPUTED_VALUE"""),88445.0)</f>
        <v>88445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IFERROR(__xludf.DUMMYFUNCTION("""COMPUTED_VALUE"""),192.13)</f>
        <v>192.13</v>
      </c>
      <c r="C2447" s="1">
        <f>IFERROR(__xludf.DUMMYFUNCTION("""COMPUTED_VALUE"""),194.18)</f>
        <v>194.18</v>
      </c>
      <c r="D2447" s="1">
        <f>IFERROR(__xludf.DUMMYFUNCTION("""COMPUTED_VALUE"""),191.58)</f>
        <v>191.58</v>
      </c>
      <c r="E2447" s="1">
        <f>IFERROR(__xludf.DUMMYFUNCTION("""COMPUTED_VALUE"""),191.64)</f>
        <v>191.64</v>
      </c>
      <c r="F2447" s="1">
        <f>IFERROR(__xludf.DUMMYFUNCTION("""COMPUTED_VALUE"""),197719.0)</f>
        <v>197719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IFERROR(__xludf.DUMMYFUNCTION("""COMPUTED_VALUE"""),192.35)</f>
        <v>192.35</v>
      </c>
      <c r="C2448" s="1">
        <f>IFERROR(__xludf.DUMMYFUNCTION("""COMPUTED_VALUE"""),193.56)</f>
        <v>193.56</v>
      </c>
      <c r="D2448" s="1">
        <f>IFERROR(__xludf.DUMMYFUNCTION("""COMPUTED_VALUE"""),188.88)</f>
        <v>188.88</v>
      </c>
      <c r="E2448" s="1">
        <f>IFERROR(__xludf.DUMMYFUNCTION("""COMPUTED_VALUE"""),192.44)</f>
        <v>192.44</v>
      </c>
      <c r="F2448" s="1">
        <f>IFERROR(__xludf.DUMMYFUNCTION("""COMPUTED_VALUE"""),76081.0)</f>
        <v>76081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IFERROR(__xludf.DUMMYFUNCTION("""COMPUTED_VALUE"""),193.44)</f>
        <v>193.44</v>
      </c>
      <c r="C2449" s="1">
        <f>IFERROR(__xludf.DUMMYFUNCTION("""COMPUTED_VALUE"""),194.0)</f>
        <v>194</v>
      </c>
      <c r="D2449" s="1">
        <f>IFERROR(__xludf.DUMMYFUNCTION("""COMPUTED_VALUE"""),190.69)</f>
        <v>190.69</v>
      </c>
      <c r="E2449" s="1">
        <f>IFERROR(__xludf.DUMMYFUNCTION("""COMPUTED_VALUE"""),191.52)</f>
        <v>191.52</v>
      </c>
      <c r="F2449" s="1">
        <f>IFERROR(__xludf.DUMMYFUNCTION("""COMPUTED_VALUE"""),77054.0)</f>
        <v>77054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IFERROR(__xludf.DUMMYFUNCTION("""COMPUTED_VALUE"""),192.52)</f>
        <v>192.52</v>
      </c>
      <c r="C2450" s="1">
        <f>IFERROR(__xludf.DUMMYFUNCTION("""COMPUTED_VALUE"""),196.84)</f>
        <v>196.84</v>
      </c>
      <c r="D2450" s="1">
        <f>IFERROR(__xludf.DUMMYFUNCTION("""COMPUTED_VALUE"""),192.52)</f>
        <v>192.52</v>
      </c>
      <c r="E2450" s="1">
        <f>IFERROR(__xludf.DUMMYFUNCTION("""COMPUTED_VALUE"""),194.71)</f>
        <v>194.71</v>
      </c>
      <c r="F2450" s="1">
        <f>IFERROR(__xludf.DUMMYFUNCTION("""COMPUTED_VALUE"""),248364.0)</f>
        <v>248364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IFERROR(__xludf.DUMMYFUNCTION("""COMPUTED_VALUE"""),195.53)</f>
        <v>195.53</v>
      </c>
      <c r="C2451" s="1">
        <f>IFERROR(__xludf.DUMMYFUNCTION("""COMPUTED_VALUE"""),195.9)</f>
        <v>195.9</v>
      </c>
      <c r="D2451" s="1">
        <f>IFERROR(__xludf.DUMMYFUNCTION("""COMPUTED_VALUE"""),192.08)</f>
        <v>192.08</v>
      </c>
      <c r="E2451" s="1">
        <f>IFERROR(__xludf.DUMMYFUNCTION("""COMPUTED_VALUE"""),192.29)</f>
        <v>192.29</v>
      </c>
      <c r="F2451" s="1">
        <f>IFERROR(__xludf.DUMMYFUNCTION("""COMPUTED_VALUE"""),93724.0)</f>
        <v>93724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IFERROR(__xludf.DUMMYFUNCTION("""COMPUTED_VALUE"""),192.92)</f>
        <v>192.92</v>
      </c>
      <c r="C2452" s="1">
        <f>IFERROR(__xludf.DUMMYFUNCTION("""COMPUTED_VALUE"""),192.92)</f>
        <v>192.92</v>
      </c>
      <c r="D2452" s="1">
        <f>IFERROR(__xludf.DUMMYFUNCTION("""COMPUTED_VALUE"""),190.8)</f>
        <v>190.8</v>
      </c>
      <c r="E2452" s="1">
        <f>IFERROR(__xludf.DUMMYFUNCTION("""COMPUTED_VALUE"""),191.4)</f>
        <v>191.4</v>
      </c>
      <c r="F2452" s="1">
        <f>IFERROR(__xludf.DUMMYFUNCTION("""COMPUTED_VALUE"""),60546.0)</f>
        <v>60546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IFERROR(__xludf.DUMMYFUNCTION("""COMPUTED_VALUE"""),191.71)</f>
        <v>191.71</v>
      </c>
      <c r="C2453" s="1">
        <f>IFERROR(__xludf.DUMMYFUNCTION("""COMPUTED_VALUE"""),193.18)</f>
        <v>193.18</v>
      </c>
      <c r="D2453" s="1">
        <f>IFERROR(__xludf.DUMMYFUNCTION("""COMPUTED_VALUE"""),190.66)</f>
        <v>190.66</v>
      </c>
      <c r="E2453" s="1">
        <f>IFERROR(__xludf.DUMMYFUNCTION("""COMPUTED_VALUE"""),192.0)</f>
        <v>192</v>
      </c>
      <c r="F2453" s="1">
        <f>IFERROR(__xludf.DUMMYFUNCTION("""COMPUTED_VALUE"""),242808.0)</f>
        <v>242808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IFERROR(__xludf.DUMMYFUNCTION("""COMPUTED_VALUE"""),191.87)</f>
        <v>191.87</v>
      </c>
      <c r="C2454" s="1">
        <f>IFERROR(__xludf.DUMMYFUNCTION("""COMPUTED_VALUE"""),193.59)</f>
        <v>193.59</v>
      </c>
      <c r="D2454" s="1">
        <f>IFERROR(__xludf.DUMMYFUNCTION("""COMPUTED_VALUE"""),188.72)</f>
        <v>188.72</v>
      </c>
      <c r="E2454" s="1">
        <f>IFERROR(__xludf.DUMMYFUNCTION("""COMPUTED_VALUE"""),189.33)</f>
        <v>189.33</v>
      </c>
      <c r="F2454" s="1">
        <f>IFERROR(__xludf.DUMMYFUNCTION("""COMPUTED_VALUE"""),164264.0)</f>
        <v>164264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IFERROR(__xludf.DUMMYFUNCTION("""COMPUTED_VALUE"""),188.65)</f>
        <v>188.65</v>
      </c>
      <c r="C2455" s="1">
        <f>IFERROR(__xludf.DUMMYFUNCTION("""COMPUTED_VALUE"""),191.22)</f>
        <v>191.22</v>
      </c>
      <c r="D2455" s="1">
        <f>IFERROR(__xludf.DUMMYFUNCTION("""COMPUTED_VALUE"""),187.76)</f>
        <v>187.76</v>
      </c>
      <c r="E2455" s="1">
        <f>IFERROR(__xludf.DUMMYFUNCTION("""COMPUTED_VALUE"""),190.57)</f>
        <v>190.57</v>
      </c>
      <c r="F2455" s="1">
        <f>IFERROR(__xludf.DUMMYFUNCTION("""COMPUTED_VALUE"""),102213.0)</f>
        <v>102213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IFERROR(__xludf.DUMMYFUNCTION("""COMPUTED_VALUE"""),190.67)</f>
        <v>190.67</v>
      </c>
      <c r="C2456" s="1">
        <f>IFERROR(__xludf.DUMMYFUNCTION("""COMPUTED_VALUE"""),193.54)</f>
        <v>193.54</v>
      </c>
      <c r="D2456" s="1">
        <f>IFERROR(__xludf.DUMMYFUNCTION("""COMPUTED_VALUE"""),190.67)</f>
        <v>190.67</v>
      </c>
      <c r="E2456" s="1">
        <f>IFERROR(__xludf.DUMMYFUNCTION("""COMPUTED_VALUE"""),192.85)</f>
        <v>192.85</v>
      </c>
      <c r="F2456" s="1">
        <f>IFERROR(__xludf.DUMMYFUNCTION("""COMPUTED_VALUE"""),98745.0)</f>
        <v>98745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IFERROR(__xludf.DUMMYFUNCTION("""COMPUTED_VALUE"""),193.47)</f>
        <v>193.47</v>
      </c>
      <c r="C2457" s="1">
        <f>IFERROR(__xludf.DUMMYFUNCTION("""COMPUTED_VALUE"""),195.7)</f>
        <v>195.7</v>
      </c>
      <c r="D2457" s="1">
        <f>IFERROR(__xludf.DUMMYFUNCTION("""COMPUTED_VALUE"""),193.47)</f>
        <v>193.47</v>
      </c>
      <c r="E2457" s="1">
        <f>IFERROR(__xludf.DUMMYFUNCTION("""COMPUTED_VALUE"""),195.66)</f>
        <v>195.66</v>
      </c>
      <c r="F2457" s="1">
        <f>IFERROR(__xludf.DUMMYFUNCTION("""COMPUTED_VALUE"""),58678.0)</f>
        <v>58678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IFERROR(__xludf.DUMMYFUNCTION("""COMPUTED_VALUE"""),194.72)</f>
        <v>194.72</v>
      </c>
      <c r="C2458" s="1">
        <f>IFERROR(__xludf.DUMMYFUNCTION("""COMPUTED_VALUE"""),195.0)</f>
        <v>195</v>
      </c>
      <c r="D2458" s="1">
        <f>IFERROR(__xludf.DUMMYFUNCTION("""COMPUTED_VALUE"""),191.4)</f>
        <v>191.4</v>
      </c>
      <c r="E2458" s="1">
        <f>IFERROR(__xludf.DUMMYFUNCTION("""COMPUTED_VALUE"""),192.48)</f>
        <v>192.48</v>
      </c>
      <c r="F2458" s="1">
        <f>IFERROR(__xludf.DUMMYFUNCTION("""COMPUTED_VALUE"""),123780.0)</f>
        <v>123780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IFERROR(__xludf.DUMMYFUNCTION("""COMPUTED_VALUE"""),192.12)</f>
        <v>192.12</v>
      </c>
      <c r="C2459" s="1">
        <f>IFERROR(__xludf.DUMMYFUNCTION("""COMPUTED_VALUE"""),193.95)</f>
        <v>193.95</v>
      </c>
      <c r="D2459" s="1">
        <f>IFERROR(__xludf.DUMMYFUNCTION("""COMPUTED_VALUE"""),190.79)</f>
        <v>190.79</v>
      </c>
      <c r="E2459" s="1">
        <f>IFERROR(__xludf.DUMMYFUNCTION("""COMPUTED_VALUE"""),192.61)</f>
        <v>192.61</v>
      </c>
      <c r="F2459" s="1">
        <f>IFERROR(__xludf.DUMMYFUNCTION("""COMPUTED_VALUE"""),118601.0)</f>
        <v>118601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IFERROR(__xludf.DUMMYFUNCTION("""COMPUTED_VALUE"""),193.3)</f>
        <v>193.3</v>
      </c>
      <c r="C2460" s="1">
        <f>IFERROR(__xludf.DUMMYFUNCTION("""COMPUTED_VALUE"""),193.96)</f>
        <v>193.96</v>
      </c>
      <c r="D2460" s="1">
        <f>IFERROR(__xludf.DUMMYFUNCTION("""COMPUTED_VALUE"""),191.81)</f>
        <v>191.81</v>
      </c>
      <c r="E2460" s="1">
        <f>IFERROR(__xludf.DUMMYFUNCTION("""COMPUTED_VALUE"""),192.1)</f>
        <v>192.1</v>
      </c>
      <c r="F2460" s="1">
        <f>IFERROR(__xludf.DUMMYFUNCTION("""COMPUTED_VALUE"""),74329.0)</f>
        <v>74329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IFERROR(__xludf.DUMMYFUNCTION("""COMPUTED_VALUE"""),191.72)</f>
        <v>191.72</v>
      </c>
      <c r="C2461" s="1">
        <f>IFERROR(__xludf.DUMMYFUNCTION("""COMPUTED_VALUE"""),192.83)</f>
        <v>192.83</v>
      </c>
      <c r="D2461" s="1">
        <f>IFERROR(__xludf.DUMMYFUNCTION("""COMPUTED_VALUE"""),190.77)</f>
        <v>190.77</v>
      </c>
      <c r="E2461" s="1">
        <f>IFERROR(__xludf.DUMMYFUNCTION("""COMPUTED_VALUE"""),191.98)</f>
        <v>191.98</v>
      </c>
      <c r="F2461" s="1">
        <f>IFERROR(__xludf.DUMMYFUNCTION("""COMPUTED_VALUE"""),56777.0)</f>
        <v>56777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IFERROR(__xludf.DUMMYFUNCTION("""COMPUTED_VALUE"""),192.34)</f>
        <v>192.34</v>
      </c>
      <c r="C2462" s="1">
        <f>IFERROR(__xludf.DUMMYFUNCTION("""COMPUTED_VALUE"""),194.0)</f>
        <v>194</v>
      </c>
      <c r="D2462" s="1">
        <f>IFERROR(__xludf.DUMMYFUNCTION("""COMPUTED_VALUE"""),191.25)</f>
        <v>191.25</v>
      </c>
      <c r="E2462" s="1">
        <f>IFERROR(__xludf.DUMMYFUNCTION("""COMPUTED_VALUE"""),192.59)</f>
        <v>192.59</v>
      </c>
      <c r="F2462" s="1">
        <f>IFERROR(__xludf.DUMMYFUNCTION("""COMPUTED_VALUE"""),61255.0)</f>
        <v>61255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IFERROR(__xludf.DUMMYFUNCTION("""COMPUTED_VALUE"""),192.31)</f>
        <v>192.31</v>
      </c>
      <c r="C2463" s="1">
        <f>IFERROR(__xludf.DUMMYFUNCTION("""COMPUTED_VALUE"""),193.81)</f>
        <v>193.81</v>
      </c>
      <c r="D2463" s="1">
        <f>IFERROR(__xludf.DUMMYFUNCTION("""COMPUTED_VALUE"""),190.78)</f>
        <v>190.78</v>
      </c>
      <c r="E2463" s="1">
        <f>IFERROR(__xludf.DUMMYFUNCTION("""COMPUTED_VALUE"""),192.13)</f>
        <v>192.13</v>
      </c>
      <c r="F2463" s="1">
        <f>IFERROR(__xludf.DUMMYFUNCTION("""COMPUTED_VALUE"""),43394.0)</f>
        <v>43394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IFERROR(__xludf.DUMMYFUNCTION("""COMPUTED_VALUE"""),192.37)</f>
        <v>192.37</v>
      </c>
      <c r="C2464" s="1">
        <f>IFERROR(__xludf.DUMMYFUNCTION("""COMPUTED_VALUE"""),193.34)</f>
        <v>193.34</v>
      </c>
      <c r="D2464" s="1">
        <f>IFERROR(__xludf.DUMMYFUNCTION("""COMPUTED_VALUE"""),190.99)</f>
        <v>190.99</v>
      </c>
      <c r="E2464" s="1">
        <f>IFERROR(__xludf.DUMMYFUNCTION("""COMPUTED_VALUE"""),191.83)</f>
        <v>191.83</v>
      </c>
      <c r="F2464" s="1">
        <f>IFERROR(__xludf.DUMMYFUNCTION("""COMPUTED_VALUE"""),76940.0)</f>
        <v>76940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IFERROR(__xludf.DUMMYFUNCTION("""COMPUTED_VALUE"""),191.66)</f>
        <v>191.66</v>
      </c>
      <c r="C2465" s="1">
        <f>IFERROR(__xludf.DUMMYFUNCTION("""COMPUTED_VALUE"""),193.75)</f>
        <v>193.75</v>
      </c>
      <c r="D2465" s="1">
        <f>IFERROR(__xludf.DUMMYFUNCTION("""COMPUTED_VALUE"""),191.66)</f>
        <v>191.66</v>
      </c>
      <c r="E2465" s="1">
        <f>IFERROR(__xludf.DUMMYFUNCTION("""COMPUTED_VALUE"""),193.27)</f>
        <v>193.27</v>
      </c>
      <c r="F2465" s="1">
        <f>IFERROR(__xludf.DUMMYFUNCTION("""COMPUTED_VALUE"""),66522.0)</f>
        <v>66522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IFERROR(__xludf.DUMMYFUNCTION("""COMPUTED_VALUE"""),194.0)</f>
        <v>194</v>
      </c>
      <c r="C2466" s="1">
        <f>IFERROR(__xludf.DUMMYFUNCTION("""COMPUTED_VALUE"""),195.72)</f>
        <v>195.72</v>
      </c>
      <c r="D2466" s="1">
        <f>IFERROR(__xludf.DUMMYFUNCTION("""COMPUTED_VALUE"""),193.27)</f>
        <v>193.27</v>
      </c>
      <c r="E2466" s="1">
        <f>IFERROR(__xludf.DUMMYFUNCTION("""COMPUTED_VALUE"""),195.5)</f>
        <v>195.5</v>
      </c>
      <c r="F2466" s="1">
        <f>IFERROR(__xludf.DUMMYFUNCTION("""COMPUTED_VALUE"""),90584.0)</f>
        <v>90584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IFERROR(__xludf.DUMMYFUNCTION("""COMPUTED_VALUE"""),195.38)</f>
        <v>195.38</v>
      </c>
      <c r="C2467" s="1">
        <f>IFERROR(__xludf.DUMMYFUNCTION("""COMPUTED_VALUE"""),195.58)</f>
        <v>195.58</v>
      </c>
      <c r="D2467" s="1">
        <f>IFERROR(__xludf.DUMMYFUNCTION("""COMPUTED_VALUE"""),193.8)</f>
        <v>193.8</v>
      </c>
      <c r="E2467" s="1">
        <f>IFERROR(__xludf.DUMMYFUNCTION("""COMPUTED_VALUE"""),194.86)</f>
        <v>194.86</v>
      </c>
      <c r="F2467" s="1">
        <f>IFERROR(__xludf.DUMMYFUNCTION("""COMPUTED_VALUE"""),72540.0)</f>
        <v>72540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IFERROR(__xludf.DUMMYFUNCTION("""COMPUTED_VALUE"""),195.24)</f>
        <v>195.24</v>
      </c>
      <c r="C2468" s="1">
        <f>IFERROR(__xludf.DUMMYFUNCTION("""COMPUTED_VALUE"""),195.51)</f>
        <v>195.51</v>
      </c>
      <c r="D2468" s="1">
        <f>IFERROR(__xludf.DUMMYFUNCTION("""COMPUTED_VALUE"""),193.44)</f>
        <v>193.44</v>
      </c>
      <c r="E2468" s="1">
        <f>IFERROR(__xludf.DUMMYFUNCTION("""COMPUTED_VALUE"""),193.66)</f>
        <v>193.66</v>
      </c>
      <c r="F2468" s="1">
        <f>IFERROR(__xludf.DUMMYFUNCTION("""COMPUTED_VALUE"""),59787.0)</f>
        <v>59787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IFERROR(__xludf.DUMMYFUNCTION("""COMPUTED_VALUE"""),193.76)</f>
        <v>193.76</v>
      </c>
      <c r="C2469" s="1">
        <f>IFERROR(__xludf.DUMMYFUNCTION("""COMPUTED_VALUE"""),194.68)</f>
        <v>194.68</v>
      </c>
      <c r="D2469" s="1">
        <f>IFERROR(__xludf.DUMMYFUNCTION("""COMPUTED_VALUE"""),191.66)</f>
        <v>191.66</v>
      </c>
      <c r="E2469" s="1">
        <f>IFERROR(__xludf.DUMMYFUNCTION("""COMPUTED_VALUE"""),191.97)</f>
        <v>191.97</v>
      </c>
      <c r="F2469" s="1">
        <f>IFERROR(__xludf.DUMMYFUNCTION("""COMPUTED_VALUE"""),61136.0)</f>
        <v>61136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IFERROR(__xludf.DUMMYFUNCTION("""COMPUTED_VALUE"""),191.98)</f>
        <v>191.98</v>
      </c>
      <c r="C2470" s="1">
        <f>IFERROR(__xludf.DUMMYFUNCTION("""COMPUTED_VALUE"""),193.05)</f>
        <v>193.05</v>
      </c>
      <c r="D2470" s="1">
        <f>IFERROR(__xludf.DUMMYFUNCTION("""COMPUTED_VALUE"""),188.68)</f>
        <v>188.68</v>
      </c>
      <c r="E2470" s="1">
        <f>IFERROR(__xludf.DUMMYFUNCTION("""COMPUTED_VALUE"""),189.97)</f>
        <v>189.97</v>
      </c>
      <c r="F2470" s="1">
        <f>IFERROR(__xludf.DUMMYFUNCTION("""COMPUTED_VALUE"""),68661.0)</f>
        <v>68661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IFERROR(__xludf.DUMMYFUNCTION("""COMPUTED_VALUE"""),189.68)</f>
        <v>189.68</v>
      </c>
      <c r="C2471" s="1">
        <f>IFERROR(__xludf.DUMMYFUNCTION("""COMPUTED_VALUE"""),190.67)</f>
        <v>190.67</v>
      </c>
      <c r="D2471" s="1">
        <f>IFERROR(__xludf.DUMMYFUNCTION("""COMPUTED_VALUE"""),188.73)</f>
        <v>188.73</v>
      </c>
      <c r="E2471" s="1">
        <f>IFERROR(__xludf.DUMMYFUNCTION("""COMPUTED_VALUE"""),190.1)</f>
        <v>190.1</v>
      </c>
      <c r="F2471" s="1">
        <f>IFERROR(__xludf.DUMMYFUNCTION("""COMPUTED_VALUE"""),44146.0)</f>
        <v>44146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IFERROR(__xludf.DUMMYFUNCTION("""COMPUTED_VALUE"""),190.2)</f>
        <v>190.2</v>
      </c>
      <c r="C2472" s="1">
        <f>IFERROR(__xludf.DUMMYFUNCTION("""COMPUTED_VALUE"""),190.2)</f>
        <v>190.2</v>
      </c>
      <c r="D2472" s="1">
        <f>IFERROR(__xludf.DUMMYFUNCTION("""COMPUTED_VALUE"""),188.56)</f>
        <v>188.56</v>
      </c>
      <c r="E2472" s="1">
        <f>IFERROR(__xludf.DUMMYFUNCTION("""COMPUTED_VALUE"""),188.96)</f>
        <v>188.96</v>
      </c>
      <c r="F2472" s="1">
        <f>IFERROR(__xludf.DUMMYFUNCTION("""COMPUTED_VALUE"""),67015.0)</f>
        <v>67015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IFERROR(__xludf.DUMMYFUNCTION("""COMPUTED_VALUE"""),188.9)</f>
        <v>188.9</v>
      </c>
      <c r="C2473" s="1">
        <f>IFERROR(__xludf.DUMMYFUNCTION("""COMPUTED_VALUE"""),191.1)</f>
        <v>191.1</v>
      </c>
      <c r="D2473" s="1">
        <f>IFERROR(__xludf.DUMMYFUNCTION("""COMPUTED_VALUE"""),188.83)</f>
        <v>188.83</v>
      </c>
      <c r="E2473" s="1">
        <f>IFERROR(__xludf.DUMMYFUNCTION("""COMPUTED_VALUE"""),190.62)</f>
        <v>190.62</v>
      </c>
      <c r="F2473" s="1">
        <f>IFERROR(__xludf.DUMMYFUNCTION("""COMPUTED_VALUE"""),61960.0)</f>
        <v>61960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IFERROR(__xludf.DUMMYFUNCTION("""COMPUTED_VALUE"""),190.81)</f>
        <v>190.81</v>
      </c>
      <c r="C2474" s="1">
        <f>IFERROR(__xludf.DUMMYFUNCTION("""COMPUTED_VALUE"""),194.28)</f>
        <v>194.28</v>
      </c>
      <c r="D2474" s="1">
        <f>IFERROR(__xludf.DUMMYFUNCTION("""COMPUTED_VALUE"""),189.71)</f>
        <v>189.71</v>
      </c>
      <c r="E2474" s="1">
        <f>IFERROR(__xludf.DUMMYFUNCTION("""COMPUTED_VALUE"""),193.06)</f>
        <v>193.06</v>
      </c>
      <c r="F2474" s="1">
        <f>IFERROR(__xludf.DUMMYFUNCTION("""COMPUTED_VALUE"""),76775.0)</f>
        <v>76775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IFERROR(__xludf.DUMMYFUNCTION("""COMPUTED_VALUE"""),192.95)</f>
        <v>192.95</v>
      </c>
      <c r="C2475" s="1">
        <f>IFERROR(__xludf.DUMMYFUNCTION("""COMPUTED_VALUE"""),192.95)</f>
        <v>192.95</v>
      </c>
      <c r="D2475" s="1">
        <f>IFERROR(__xludf.DUMMYFUNCTION("""COMPUTED_VALUE"""),191.39)</f>
        <v>191.39</v>
      </c>
      <c r="E2475" s="1">
        <f>IFERROR(__xludf.DUMMYFUNCTION("""COMPUTED_VALUE"""),192.24)</f>
        <v>192.24</v>
      </c>
      <c r="F2475" s="1">
        <f>IFERROR(__xludf.DUMMYFUNCTION("""COMPUTED_VALUE"""),110263.0)</f>
        <v>110263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IFERROR(__xludf.DUMMYFUNCTION("""COMPUTED_VALUE"""),191.81)</f>
        <v>191.81</v>
      </c>
      <c r="C2476" s="1">
        <f>IFERROR(__xludf.DUMMYFUNCTION("""COMPUTED_VALUE"""),193.1)</f>
        <v>193.1</v>
      </c>
      <c r="D2476" s="1">
        <f>IFERROR(__xludf.DUMMYFUNCTION("""COMPUTED_VALUE"""),189.93)</f>
        <v>189.93</v>
      </c>
      <c r="E2476" s="1">
        <f>IFERROR(__xludf.DUMMYFUNCTION("""COMPUTED_VALUE"""),190.76)</f>
        <v>190.76</v>
      </c>
      <c r="F2476" s="1">
        <f>IFERROR(__xludf.DUMMYFUNCTION("""COMPUTED_VALUE"""),60832.0)</f>
        <v>60832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IFERROR(__xludf.DUMMYFUNCTION("""COMPUTED_VALUE"""),190.93)</f>
        <v>190.93</v>
      </c>
      <c r="C2477" s="1">
        <f>IFERROR(__xludf.DUMMYFUNCTION("""COMPUTED_VALUE"""),191.69)</f>
        <v>191.69</v>
      </c>
      <c r="D2477" s="1">
        <f>IFERROR(__xludf.DUMMYFUNCTION("""COMPUTED_VALUE"""),189.28)</f>
        <v>189.28</v>
      </c>
      <c r="E2477" s="1">
        <f>IFERROR(__xludf.DUMMYFUNCTION("""COMPUTED_VALUE"""),189.78)</f>
        <v>189.78</v>
      </c>
      <c r="F2477" s="1">
        <f>IFERROR(__xludf.DUMMYFUNCTION("""COMPUTED_VALUE"""),108188.0)</f>
        <v>108188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IFERROR(__xludf.DUMMYFUNCTION("""COMPUTED_VALUE"""),190.59)</f>
        <v>190.59</v>
      </c>
      <c r="C2478" s="1">
        <f>IFERROR(__xludf.DUMMYFUNCTION("""COMPUTED_VALUE"""),190.88)</f>
        <v>190.88</v>
      </c>
      <c r="D2478" s="1">
        <f>IFERROR(__xludf.DUMMYFUNCTION("""COMPUTED_VALUE"""),188.71)</f>
        <v>188.71</v>
      </c>
      <c r="E2478" s="1">
        <f>IFERROR(__xludf.DUMMYFUNCTION("""COMPUTED_VALUE"""),189.36)</f>
        <v>189.36</v>
      </c>
      <c r="F2478" s="1">
        <f>IFERROR(__xludf.DUMMYFUNCTION("""COMPUTED_VALUE"""),111678.0)</f>
        <v>111678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IFERROR(__xludf.DUMMYFUNCTION("""COMPUTED_VALUE"""),189.66)</f>
        <v>189.66</v>
      </c>
      <c r="C2479" s="1">
        <f>IFERROR(__xludf.DUMMYFUNCTION("""COMPUTED_VALUE"""),190.09)</f>
        <v>190.09</v>
      </c>
      <c r="D2479" s="1">
        <f>IFERROR(__xludf.DUMMYFUNCTION("""COMPUTED_VALUE"""),187.28)</f>
        <v>187.28</v>
      </c>
      <c r="E2479" s="1">
        <f>IFERROR(__xludf.DUMMYFUNCTION("""COMPUTED_VALUE"""),188.16)</f>
        <v>188.16</v>
      </c>
      <c r="F2479" s="1">
        <f>IFERROR(__xludf.DUMMYFUNCTION("""COMPUTED_VALUE"""),112146.0)</f>
        <v>112146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IFERROR(__xludf.DUMMYFUNCTION("""COMPUTED_VALUE"""),188.69)</f>
        <v>188.69</v>
      </c>
      <c r="C2480" s="1">
        <f>IFERROR(__xludf.DUMMYFUNCTION("""COMPUTED_VALUE"""),191.52)</f>
        <v>191.52</v>
      </c>
      <c r="D2480" s="1">
        <f>IFERROR(__xludf.DUMMYFUNCTION("""COMPUTED_VALUE"""),188.6)</f>
        <v>188.6</v>
      </c>
      <c r="E2480" s="1">
        <f>IFERROR(__xludf.DUMMYFUNCTION("""COMPUTED_VALUE"""),190.23)</f>
        <v>190.23</v>
      </c>
      <c r="F2480" s="1">
        <f>IFERROR(__xludf.DUMMYFUNCTION("""COMPUTED_VALUE"""),102142.0)</f>
        <v>102142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IFERROR(__xludf.DUMMYFUNCTION("""COMPUTED_VALUE"""),188.69)</f>
        <v>188.69</v>
      </c>
      <c r="C2481" s="1">
        <f>IFERROR(__xludf.DUMMYFUNCTION("""COMPUTED_VALUE"""),191.52)</f>
        <v>191.52</v>
      </c>
      <c r="D2481" s="1">
        <f>IFERROR(__xludf.DUMMYFUNCTION("""COMPUTED_VALUE"""),188.6)</f>
        <v>188.6</v>
      </c>
      <c r="E2481" s="1">
        <f>IFERROR(__xludf.DUMMYFUNCTION("""COMPUTED_VALUE"""),190.23)</f>
        <v>190.23</v>
      </c>
      <c r="F2481" s="1">
        <f>IFERROR(__xludf.DUMMYFUNCTION("""COMPUTED_VALUE"""),2.0)</f>
        <v>2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IFERROR(__xludf.DUMMYFUNCTION("""COMPUTED_VALUE"""),189.68)</f>
        <v>189.68</v>
      </c>
      <c r="C2482" s="1">
        <f>IFERROR(__xludf.DUMMYFUNCTION("""COMPUTED_VALUE"""),189.68)</f>
        <v>189.68</v>
      </c>
      <c r="D2482" s="1">
        <f>IFERROR(__xludf.DUMMYFUNCTION("""COMPUTED_VALUE"""),178.87)</f>
        <v>178.87</v>
      </c>
      <c r="E2482" s="1">
        <f>IFERROR(__xludf.DUMMYFUNCTION("""COMPUTED_VALUE"""),180.93)</f>
        <v>180.93</v>
      </c>
      <c r="F2482" s="1">
        <f>IFERROR(__xludf.DUMMYFUNCTION("""COMPUTED_VALUE"""),111776.0)</f>
        <v>111776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IFERROR(__xludf.DUMMYFUNCTION("""COMPUTED_VALUE"""),181.08)</f>
        <v>181.08</v>
      </c>
      <c r="C2483" s="1">
        <f>IFERROR(__xludf.DUMMYFUNCTION("""COMPUTED_VALUE"""),184.2)</f>
        <v>184.2</v>
      </c>
      <c r="D2483" s="1">
        <f>IFERROR(__xludf.DUMMYFUNCTION("""COMPUTED_VALUE"""),180.09)</f>
        <v>180.09</v>
      </c>
      <c r="E2483" s="1">
        <f>IFERROR(__xludf.DUMMYFUNCTION("""COMPUTED_VALUE"""),183.62)</f>
        <v>183.62</v>
      </c>
      <c r="F2483" s="1">
        <f>IFERROR(__xludf.DUMMYFUNCTION("""COMPUTED_VALUE"""),61209.0)</f>
        <v>61209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IFERROR(__xludf.DUMMYFUNCTION("""COMPUTED_VALUE"""),183.72)</f>
        <v>183.72</v>
      </c>
      <c r="C2484" s="1">
        <f>IFERROR(__xludf.DUMMYFUNCTION("""COMPUTED_VALUE"""),184.14)</f>
        <v>184.14</v>
      </c>
      <c r="D2484" s="1">
        <f>IFERROR(__xludf.DUMMYFUNCTION("""COMPUTED_VALUE"""),181.56)</f>
        <v>181.56</v>
      </c>
      <c r="E2484" s="1">
        <f>IFERROR(__xludf.DUMMYFUNCTION("""COMPUTED_VALUE"""),181.7)</f>
        <v>181.7</v>
      </c>
      <c r="F2484" s="1">
        <f>IFERROR(__xludf.DUMMYFUNCTION("""COMPUTED_VALUE"""),111370.0)</f>
        <v>111370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IFERROR(__xludf.DUMMYFUNCTION("""COMPUTED_VALUE"""),182.18)</f>
        <v>182.18</v>
      </c>
      <c r="C2485" s="1">
        <f>IFERROR(__xludf.DUMMYFUNCTION("""COMPUTED_VALUE"""),184.48)</f>
        <v>184.48</v>
      </c>
      <c r="D2485" s="1">
        <f>IFERROR(__xludf.DUMMYFUNCTION("""COMPUTED_VALUE"""),181.0)</f>
        <v>181</v>
      </c>
      <c r="E2485" s="1">
        <f>IFERROR(__xludf.DUMMYFUNCTION("""COMPUTED_VALUE"""),183.64)</f>
        <v>183.64</v>
      </c>
      <c r="F2485" s="1">
        <f>IFERROR(__xludf.DUMMYFUNCTION("""COMPUTED_VALUE"""),76216.0)</f>
        <v>76216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IFERROR(__xludf.DUMMYFUNCTION("""COMPUTED_VALUE"""),183.65)</f>
        <v>183.65</v>
      </c>
      <c r="C2486" s="1">
        <f>IFERROR(__xludf.DUMMYFUNCTION("""COMPUTED_VALUE"""),184.51)</f>
        <v>184.51</v>
      </c>
      <c r="D2486" s="1">
        <f>IFERROR(__xludf.DUMMYFUNCTION("""COMPUTED_VALUE"""),182.56)</f>
        <v>182.56</v>
      </c>
      <c r="E2486" s="1">
        <f>IFERROR(__xludf.DUMMYFUNCTION("""COMPUTED_VALUE"""),183.09)</f>
        <v>183.09</v>
      </c>
      <c r="F2486" s="1">
        <f>IFERROR(__xludf.DUMMYFUNCTION("""COMPUTED_VALUE"""),60606.0)</f>
        <v>60606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IFERROR(__xludf.DUMMYFUNCTION("""COMPUTED_VALUE"""),182.88)</f>
        <v>182.88</v>
      </c>
      <c r="C2487" s="1">
        <f>IFERROR(__xludf.DUMMYFUNCTION("""COMPUTED_VALUE"""),186.18)</f>
        <v>186.18</v>
      </c>
      <c r="D2487" s="1">
        <f>IFERROR(__xludf.DUMMYFUNCTION("""COMPUTED_VALUE"""),181.97)</f>
        <v>181.97</v>
      </c>
      <c r="E2487" s="1">
        <f>IFERROR(__xludf.DUMMYFUNCTION("""COMPUTED_VALUE"""),186.08)</f>
        <v>186.08</v>
      </c>
      <c r="F2487" s="1">
        <f>IFERROR(__xludf.DUMMYFUNCTION("""COMPUTED_VALUE"""),70527.0)</f>
        <v>70527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IFERROR(__xludf.DUMMYFUNCTION("""COMPUTED_VALUE"""),186.5)</f>
        <v>186.5</v>
      </c>
      <c r="C2488" s="1">
        <f>IFERROR(__xludf.DUMMYFUNCTION("""COMPUTED_VALUE"""),186.5)</f>
        <v>186.5</v>
      </c>
      <c r="D2488" s="1">
        <f>IFERROR(__xludf.DUMMYFUNCTION("""COMPUTED_VALUE"""),185.1)</f>
        <v>185.1</v>
      </c>
      <c r="E2488" s="1">
        <f>IFERROR(__xludf.DUMMYFUNCTION("""COMPUTED_VALUE"""),185.35)</f>
        <v>185.35</v>
      </c>
      <c r="F2488" s="1">
        <f>IFERROR(__xludf.DUMMYFUNCTION("""COMPUTED_VALUE"""),74436.0)</f>
        <v>74436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IFERROR(__xludf.DUMMYFUNCTION("""COMPUTED_VALUE"""),185.66)</f>
        <v>185.66</v>
      </c>
      <c r="C2489" s="1">
        <f>IFERROR(__xludf.DUMMYFUNCTION("""COMPUTED_VALUE"""),188.05)</f>
        <v>188.05</v>
      </c>
      <c r="D2489" s="1">
        <f>IFERROR(__xludf.DUMMYFUNCTION("""COMPUTED_VALUE"""),185.16)</f>
        <v>185.16</v>
      </c>
      <c r="E2489" s="1">
        <f>IFERROR(__xludf.DUMMYFUNCTION("""COMPUTED_VALUE"""),186.83)</f>
        <v>186.83</v>
      </c>
      <c r="F2489" s="1">
        <f>IFERROR(__xludf.DUMMYFUNCTION("""COMPUTED_VALUE"""),64952.0)</f>
        <v>64952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IFERROR(__xludf.DUMMYFUNCTION("""COMPUTED_VALUE"""),186.79)</f>
        <v>186.79</v>
      </c>
      <c r="C2490" s="1">
        <f>IFERROR(__xludf.DUMMYFUNCTION("""COMPUTED_VALUE"""),189.11)</f>
        <v>189.11</v>
      </c>
      <c r="D2490" s="1">
        <f>IFERROR(__xludf.DUMMYFUNCTION("""COMPUTED_VALUE"""),186.1)</f>
        <v>186.1</v>
      </c>
      <c r="E2490" s="1">
        <f>IFERROR(__xludf.DUMMYFUNCTION("""COMPUTED_VALUE"""),188.0)</f>
        <v>188</v>
      </c>
      <c r="F2490" s="1">
        <f>IFERROR(__xludf.DUMMYFUNCTION("""COMPUTED_VALUE"""),90189.0)</f>
        <v>90189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IFERROR(__xludf.DUMMYFUNCTION("""COMPUTED_VALUE"""),187.88)</f>
        <v>187.88</v>
      </c>
      <c r="C2491" s="1">
        <f>IFERROR(__xludf.DUMMYFUNCTION("""COMPUTED_VALUE"""),188.5)</f>
        <v>188.5</v>
      </c>
      <c r="D2491" s="1">
        <f>IFERROR(__xludf.DUMMYFUNCTION("""COMPUTED_VALUE"""),186.41)</f>
        <v>186.41</v>
      </c>
      <c r="E2491" s="1">
        <f>IFERROR(__xludf.DUMMYFUNCTION("""COMPUTED_VALUE"""),187.92)</f>
        <v>187.92</v>
      </c>
      <c r="F2491" s="1">
        <f>IFERROR(__xludf.DUMMYFUNCTION("""COMPUTED_VALUE"""),71320.0)</f>
        <v>71320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IFERROR(__xludf.DUMMYFUNCTION("""COMPUTED_VALUE"""),188.43)</f>
        <v>188.43</v>
      </c>
      <c r="C2492" s="1">
        <f>IFERROR(__xludf.DUMMYFUNCTION("""COMPUTED_VALUE"""),188.47)</f>
        <v>188.47</v>
      </c>
      <c r="D2492" s="1">
        <f>IFERROR(__xludf.DUMMYFUNCTION("""COMPUTED_VALUE"""),185.3)</f>
        <v>185.3</v>
      </c>
      <c r="E2492" s="1">
        <f>IFERROR(__xludf.DUMMYFUNCTION("""COMPUTED_VALUE"""),185.51)</f>
        <v>185.51</v>
      </c>
      <c r="F2492" s="1">
        <f>IFERROR(__xludf.DUMMYFUNCTION("""COMPUTED_VALUE"""),82764.0)</f>
        <v>82764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IFERROR(__xludf.DUMMYFUNCTION("""COMPUTED_VALUE"""),185.65)</f>
        <v>185.65</v>
      </c>
      <c r="C2493" s="1">
        <f>IFERROR(__xludf.DUMMYFUNCTION("""COMPUTED_VALUE"""),188.08)</f>
        <v>188.08</v>
      </c>
      <c r="D2493" s="1">
        <f>IFERROR(__xludf.DUMMYFUNCTION("""COMPUTED_VALUE"""),185.0)</f>
        <v>185</v>
      </c>
      <c r="E2493" s="1">
        <f>IFERROR(__xludf.DUMMYFUNCTION("""COMPUTED_VALUE"""),186.72)</f>
        <v>186.72</v>
      </c>
      <c r="F2493" s="1">
        <f>IFERROR(__xludf.DUMMYFUNCTION("""COMPUTED_VALUE"""),84790.0)</f>
        <v>84790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IFERROR(__xludf.DUMMYFUNCTION("""COMPUTED_VALUE"""),187.18)</f>
        <v>187.18</v>
      </c>
      <c r="C2494" s="1">
        <f>IFERROR(__xludf.DUMMYFUNCTION("""COMPUTED_VALUE"""),189.83)</f>
        <v>189.83</v>
      </c>
      <c r="D2494" s="1">
        <f>IFERROR(__xludf.DUMMYFUNCTION("""COMPUTED_VALUE"""),186.32)</f>
        <v>186.32</v>
      </c>
      <c r="E2494" s="1">
        <f>IFERROR(__xludf.DUMMYFUNCTION("""COMPUTED_VALUE"""),187.62)</f>
        <v>187.62</v>
      </c>
      <c r="F2494" s="1">
        <f>IFERROR(__xludf.DUMMYFUNCTION("""COMPUTED_VALUE"""),75345.0)</f>
        <v>75345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IFERROR(__xludf.DUMMYFUNCTION("""COMPUTED_VALUE"""),188.37)</f>
        <v>188.37</v>
      </c>
      <c r="C2495" s="1">
        <f>IFERROR(__xludf.DUMMYFUNCTION("""COMPUTED_VALUE"""),189.64)</f>
        <v>189.64</v>
      </c>
      <c r="D2495" s="1">
        <f>IFERROR(__xludf.DUMMYFUNCTION("""COMPUTED_VALUE"""),186.0)</f>
        <v>186</v>
      </c>
      <c r="E2495" s="1">
        <f>IFERROR(__xludf.DUMMYFUNCTION("""COMPUTED_VALUE"""),186.29)</f>
        <v>186.29</v>
      </c>
      <c r="F2495" s="1">
        <f>IFERROR(__xludf.DUMMYFUNCTION("""COMPUTED_VALUE"""),110131.0)</f>
        <v>110131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IFERROR(__xludf.DUMMYFUNCTION("""COMPUTED_VALUE"""),186.75)</f>
        <v>186.75</v>
      </c>
      <c r="C2496" s="1">
        <f>IFERROR(__xludf.DUMMYFUNCTION("""COMPUTED_VALUE"""),186.9)</f>
        <v>186.9</v>
      </c>
      <c r="D2496" s="1">
        <f>IFERROR(__xludf.DUMMYFUNCTION("""COMPUTED_VALUE"""),183.05)</f>
        <v>183.05</v>
      </c>
      <c r="E2496" s="1">
        <f>IFERROR(__xludf.DUMMYFUNCTION("""COMPUTED_VALUE"""),185.0)</f>
        <v>185</v>
      </c>
      <c r="F2496" s="1">
        <f>IFERROR(__xludf.DUMMYFUNCTION("""COMPUTED_VALUE"""),38235.0)</f>
        <v>38235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IFERROR(__xludf.DUMMYFUNCTION("""COMPUTED_VALUE"""),185.3)</f>
        <v>185.3</v>
      </c>
      <c r="C2497" s="1">
        <f>IFERROR(__xludf.DUMMYFUNCTION("""COMPUTED_VALUE"""),186.41)</f>
        <v>186.41</v>
      </c>
      <c r="D2497" s="1">
        <f>IFERROR(__xludf.DUMMYFUNCTION("""COMPUTED_VALUE"""),182.73)</f>
        <v>182.73</v>
      </c>
      <c r="E2497" s="1">
        <f>IFERROR(__xludf.DUMMYFUNCTION("""COMPUTED_VALUE"""),184.25)</f>
        <v>184.25</v>
      </c>
      <c r="F2497" s="1">
        <f>IFERROR(__xludf.DUMMYFUNCTION("""COMPUTED_VALUE"""),121962.0)</f>
        <v>121962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IFERROR(__xludf.DUMMYFUNCTION("""COMPUTED_VALUE"""),183.33)</f>
        <v>183.33</v>
      </c>
      <c r="C2498" s="1">
        <f>IFERROR(__xludf.DUMMYFUNCTION("""COMPUTED_VALUE"""),187.06)</f>
        <v>187.06</v>
      </c>
      <c r="D2498" s="1">
        <f>IFERROR(__xludf.DUMMYFUNCTION("""COMPUTED_VALUE"""),183.06)</f>
        <v>183.06</v>
      </c>
      <c r="E2498" s="1">
        <f>IFERROR(__xludf.DUMMYFUNCTION("""COMPUTED_VALUE"""),186.94)</f>
        <v>186.94</v>
      </c>
      <c r="F2498" s="1">
        <f>IFERROR(__xludf.DUMMYFUNCTION("""COMPUTED_VALUE"""),112684.0)</f>
        <v>112684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IFERROR(__xludf.DUMMYFUNCTION("""COMPUTED_VALUE"""),186.72)</f>
        <v>186.72</v>
      </c>
      <c r="C2499" s="1">
        <f>IFERROR(__xludf.DUMMYFUNCTION("""COMPUTED_VALUE"""),189.21)</f>
        <v>189.21</v>
      </c>
      <c r="D2499" s="1">
        <f>IFERROR(__xludf.DUMMYFUNCTION("""COMPUTED_VALUE"""),186.72)</f>
        <v>186.72</v>
      </c>
      <c r="E2499" s="1">
        <f>IFERROR(__xludf.DUMMYFUNCTION("""COMPUTED_VALUE"""),188.1)</f>
        <v>188.1</v>
      </c>
      <c r="F2499" s="1">
        <f>IFERROR(__xludf.DUMMYFUNCTION("""COMPUTED_VALUE"""),64265.0)</f>
        <v>64265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IFERROR(__xludf.DUMMYFUNCTION("""COMPUTED_VALUE"""),187.84)</f>
        <v>187.84</v>
      </c>
      <c r="C2500" s="1">
        <f>IFERROR(__xludf.DUMMYFUNCTION("""COMPUTED_VALUE"""),188.24)</f>
        <v>188.24</v>
      </c>
      <c r="D2500" s="1">
        <f>IFERROR(__xludf.DUMMYFUNCTION("""COMPUTED_VALUE"""),186.2)</f>
        <v>186.2</v>
      </c>
      <c r="E2500" s="1">
        <f>IFERROR(__xludf.DUMMYFUNCTION("""COMPUTED_VALUE"""),188.01)</f>
        <v>188.01</v>
      </c>
      <c r="F2500" s="1">
        <f>IFERROR(__xludf.DUMMYFUNCTION("""COMPUTED_VALUE"""),93772.0)</f>
        <v>93772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IFERROR(__xludf.DUMMYFUNCTION("""COMPUTED_VALUE"""),188.95)</f>
        <v>188.95</v>
      </c>
      <c r="C2501" s="1">
        <f>IFERROR(__xludf.DUMMYFUNCTION("""COMPUTED_VALUE"""),189.8)</f>
        <v>189.8</v>
      </c>
      <c r="D2501" s="1">
        <f>IFERROR(__xludf.DUMMYFUNCTION("""COMPUTED_VALUE"""),187.97)</f>
        <v>187.97</v>
      </c>
      <c r="E2501" s="1">
        <f>IFERROR(__xludf.DUMMYFUNCTION("""COMPUTED_VALUE"""),188.8)</f>
        <v>188.8</v>
      </c>
      <c r="F2501" s="1">
        <f>IFERROR(__xludf.DUMMYFUNCTION("""COMPUTED_VALUE"""),65684.0)</f>
        <v>65684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IFERROR(__xludf.DUMMYFUNCTION("""COMPUTED_VALUE"""),187.29)</f>
        <v>187.29</v>
      </c>
      <c r="C2502" s="1">
        <f>IFERROR(__xludf.DUMMYFUNCTION("""COMPUTED_VALUE"""),187.98)</f>
        <v>187.98</v>
      </c>
      <c r="D2502" s="1">
        <f>IFERROR(__xludf.DUMMYFUNCTION("""COMPUTED_VALUE"""),185.17)</f>
        <v>185.17</v>
      </c>
      <c r="E2502" s="1">
        <f>IFERROR(__xludf.DUMMYFUNCTION("""COMPUTED_VALUE"""),185.41)</f>
        <v>185.41</v>
      </c>
      <c r="F2502" s="1">
        <f>IFERROR(__xludf.DUMMYFUNCTION("""COMPUTED_VALUE"""),86574.0)</f>
        <v>86574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IFERROR(__xludf.DUMMYFUNCTION("""COMPUTED_VALUE"""),185.66)</f>
        <v>185.66</v>
      </c>
      <c r="C2503" s="1">
        <f>IFERROR(__xludf.DUMMYFUNCTION("""COMPUTED_VALUE"""),186.39)</f>
        <v>186.39</v>
      </c>
      <c r="D2503" s="1">
        <f>IFERROR(__xludf.DUMMYFUNCTION("""COMPUTED_VALUE"""),183.99)</f>
        <v>183.99</v>
      </c>
      <c r="E2503" s="1">
        <f>IFERROR(__xludf.DUMMYFUNCTION("""COMPUTED_VALUE"""),186.32)</f>
        <v>186.32</v>
      </c>
      <c r="F2503" s="1">
        <f>IFERROR(__xludf.DUMMYFUNCTION("""COMPUTED_VALUE"""),86732.0)</f>
        <v>86732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IFERROR(__xludf.DUMMYFUNCTION("""COMPUTED_VALUE"""),185.97)</f>
        <v>185.97</v>
      </c>
      <c r="C2504" s="1">
        <f>IFERROR(__xludf.DUMMYFUNCTION("""COMPUTED_VALUE"""),187.37)</f>
        <v>187.37</v>
      </c>
      <c r="D2504" s="1">
        <f>IFERROR(__xludf.DUMMYFUNCTION("""COMPUTED_VALUE"""),183.95)</f>
        <v>183.95</v>
      </c>
      <c r="E2504" s="1">
        <f>IFERROR(__xludf.DUMMYFUNCTION("""COMPUTED_VALUE"""),187.1)</f>
        <v>187.1</v>
      </c>
      <c r="F2504" s="1">
        <f>IFERROR(__xludf.DUMMYFUNCTION("""COMPUTED_VALUE"""),78877.0)</f>
        <v>78877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IFERROR(__xludf.DUMMYFUNCTION("""COMPUTED_VALUE"""),186.57)</f>
        <v>186.57</v>
      </c>
      <c r="C2505" s="1">
        <f>IFERROR(__xludf.DUMMYFUNCTION("""COMPUTED_VALUE"""),187.27)</f>
        <v>187.27</v>
      </c>
      <c r="D2505" s="1">
        <f>IFERROR(__xludf.DUMMYFUNCTION("""COMPUTED_VALUE"""),185.0)</f>
        <v>185</v>
      </c>
      <c r="E2505" s="1">
        <f>IFERROR(__xludf.DUMMYFUNCTION("""COMPUTED_VALUE"""),185.02)</f>
        <v>185.02</v>
      </c>
      <c r="F2505" s="1">
        <f>IFERROR(__xludf.DUMMYFUNCTION("""COMPUTED_VALUE"""),66472.0)</f>
        <v>66472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IFERROR(__xludf.DUMMYFUNCTION("""COMPUTED_VALUE"""),185.19)</f>
        <v>185.19</v>
      </c>
      <c r="C2506" s="1">
        <f>IFERROR(__xludf.DUMMYFUNCTION("""COMPUTED_VALUE"""),185.19)</f>
        <v>185.19</v>
      </c>
      <c r="D2506" s="1">
        <f>IFERROR(__xludf.DUMMYFUNCTION("""COMPUTED_VALUE"""),183.76)</f>
        <v>183.76</v>
      </c>
      <c r="E2506" s="1">
        <f>IFERROR(__xludf.DUMMYFUNCTION("""COMPUTED_VALUE"""),185.03)</f>
        <v>185.03</v>
      </c>
      <c r="F2506" s="1">
        <f>IFERROR(__xludf.DUMMYFUNCTION("""COMPUTED_VALUE"""),47406.0)</f>
        <v>47406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IFERROR(__xludf.DUMMYFUNCTION("""COMPUTED_VALUE"""),184.8)</f>
        <v>184.8</v>
      </c>
      <c r="C2507" s="1">
        <f>IFERROR(__xludf.DUMMYFUNCTION("""COMPUTED_VALUE"""),185.68)</f>
        <v>185.68</v>
      </c>
      <c r="D2507" s="1">
        <f>IFERROR(__xludf.DUMMYFUNCTION("""COMPUTED_VALUE"""),184.04)</f>
        <v>184.04</v>
      </c>
      <c r="E2507" s="1">
        <f>IFERROR(__xludf.DUMMYFUNCTION("""COMPUTED_VALUE"""),184.42)</f>
        <v>184.42</v>
      </c>
      <c r="F2507" s="1">
        <f>IFERROR(__xludf.DUMMYFUNCTION("""COMPUTED_VALUE"""),76309.0)</f>
        <v>76309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IFERROR(__xludf.DUMMYFUNCTION("""COMPUTED_VALUE"""),184.96)</f>
        <v>184.96</v>
      </c>
      <c r="C2508" s="1">
        <f>IFERROR(__xludf.DUMMYFUNCTION("""COMPUTED_VALUE"""),184.96)</f>
        <v>184.96</v>
      </c>
      <c r="D2508" s="1">
        <f>IFERROR(__xludf.DUMMYFUNCTION("""COMPUTED_VALUE"""),180.88)</f>
        <v>180.88</v>
      </c>
      <c r="E2508" s="1">
        <f>IFERROR(__xludf.DUMMYFUNCTION("""COMPUTED_VALUE"""),182.46)</f>
        <v>182.46</v>
      </c>
      <c r="F2508" s="1">
        <f>IFERROR(__xludf.DUMMYFUNCTION("""COMPUTED_VALUE"""),90735.0)</f>
        <v>90735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IFERROR(__xludf.DUMMYFUNCTION("""COMPUTED_VALUE"""),182.95)</f>
        <v>182.95</v>
      </c>
      <c r="C2509" s="1">
        <f>IFERROR(__xludf.DUMMYFUNCTION("""COMPUTED_VALUE"""),183.27)</f>
        <v>183.27</v>
      </c>
      <c r="D2509" s="1">
        <f>IFERROR(__xludf.DUMMYFUNCTION("""COMPUTED_VALUE"""),181.23)</f>
        <v>181.23</v>
      </c>
      <c r="E2509" s="1">
        <f>IFERROR(__xludf.DUMMYFUNCTION("""COMPUTED_VALUE"""),183.12)</f>
        <v>183.12</v>
      </c>
      <c r="F2509" s="1">
        <f>IFERROR(__xludf.DUMMYFUNCTION("""COMPUTED_VALUE"""),89385.0)</f>
        <v>89385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IFERROR(__xludf.DUMMYFUNCTION("""COMPUTED_VALUE"""),182.69)</f>
        <v>182.69</v>
      </c>
      <c r="C2510" s="1">
        <f>IFERROR(__xludf.DUMMYFUNCTION("""COMPUTED_VALUE"""),184.5)</f>
        <v>184.5</v>
      </c>
      <c r="D2510" s="1">
        <f>IFERROR(__xludf.DUMMYFUNCTION("""COMPUTED_VALUE"""),181.47)</f>
        <v>181.47</v>
      </c>
      <c r="E2510" s="1">
        <f>IFERROR(__xludf.DUMMYFUNCTION("""COMPUTED_VALUE"""),184.49)</f>
        <v>184.49</v>
      </c>
      <c r="F2510" s="1">
        <f>IFERROR(__xludf.DUMMYFUNCTION("""COMPUTED_VALUE"""),86550.0)</f>
        <v>86550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IFERROR(__xludf.DUMMYFUNCTION("""COMPUTED_VALUE"""),184.66)</f>
        <v>184.66</v>
      </c>
      <c r="C2511" s="1">
        <f>IFERROR(__xludf.DUMMYFUNCTION("""COMPUTED_VALUE"""),188.03)</f>
        <v>188.03</v>
      </c>
      <c r="D2511" s="1">
        <f>IFERROR(__xludf.DUMMYFUNCTION("""COMPUTED_VALUE"""),180.34)</f>
        <v>180.34</v>
      </c>
      <c r="E2511" s="1">
        <f>IFERROR(__xludf.DUMMYFUNCTION("""COMPUTED_VALUE"""),187.22)</f>
        <v>187.22</v>
      </c>
      <c r="F2511" s="1">
        <f>IFERROR(__xludf.DUMMYFUNCTION("""COMPUTED_VALUE"""),311118.0)</f>
        <v>311118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IFERROR(__xludf.DUMMYFUNCTION("""COMPUTED_VALUE"""),187.0)</f>
        <v>187</v>
      </c>
      <c r="C2512" s="1">
        <f>IFERROR(__xludf.DUMMYFUNCTION("""COMPUTED_VALUE"""),187.6)</f>
        <v>187.6</v>
      </c>
      <c r="D2512" s="1">
        <f>IFERROR(__xludf.DUMMYFUNCTION("""COMPUTED_VALUE"""),185.25)</f>
        <v>185.25</v>
      </c>
      <c r="E2512" s="1">
        <f>IFERROR(__xludf.DUMMYFUNCTION("""COMPUTED_VALUE"""),186.31)</f>
        <v>186.31</v>
      </c>
      <c r="F2512" s="1">
        <f>IFERROR(__xludf.DUMMYFUNCTION("""COMPUTED_VALUE"""),72852.0)</f>
        <v>72852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IFERROR(__xludf.DUMMYFUNCTION("""COMPUTED_VALUE"""),186.9)</f>
        <v>186.9</v>
      </c>
      <c r="C2513" s="1">
        <f>IFERROR(__xludf.DUMMYFUNCTION("""COMPUTED_VALUE"""),187.19)</f>
        <v>187.19</v>
      </c>
      <c r="D2513" s="1">
        <f>IFERROR(__xludf.DUMMYFUNCTION("""COMPUTED_VALUE"""),185.43)</f>
        <v>185.43</v>
      </c>
      <c r="E2513" s="1">
        <f>IFERROR(__xludf.DUMMYFUNCTION("""COMPUTED_VALUE"""),185.61)</f>
        <v>185.61</v>
      </c>
      <c r="F2513" s="1">
        <f>IFERROR(__xludf.DUMMYFUNCTION("""COMPUTED_VALUE"""),50763.0)</f>
        <v>50763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IFERROR(__xludf.DUMMYFUNCTION("""COMPUTED_VALUE"""),186.21)</f>
        <v>186.21</v>
      </c>
      <c r="C2514" s="1">
        <f>IFERROR(__xludf.DUMMYFUNCTION("""COMPUTED_VALUE"""),186.98)</f>
        <v>186.98</v>
      </c>
      <c r="D2514" s="1">
        <f>IFERROR(__xludf.DUMMYFUNCTION("""COMPUTED_VALUE"""),185.23)</f>
        <v>185.23</v>
      </c>
      <c r="E2514" s="1">
        <f>IFERROR(__xludf.DUMMYFUNCTION("""COMPUTED_VALUE"""),186.18)</f>
        <v>186.18</v>
      </c>
      <c r="F2514" s="1">
        <f>IFERROR(__xludf.DUMMYFUNCTION("""COMPUTED_VALUE"""),83816.0)</f>
        <v>83816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IFERROR(__xludf.DUMMYFUNCTION("""COMPUTED_VALUE"""),186.46)</f>
        <v>186.46</v>
      </c>
      <c r="C2515" s="1">
        <f>IFERROR(__xludf.DUMMYFUNCTION("""COMPUTED_VALUE"""),187.59)</f>
        <v>187.59</v>
      </c>
      <c r="D2515" s="1">
        <f>IFERROR(__xludf.DUMMYFUNCTION("""COMPUTED_VALUE"""),185.29)</f>
        <v>185.29</v>
      </c>
      <c r="E2515" s="1">
        <f>IFERROR(__xludf.DUMMYFUNCTION("""COMPUTED_VALUE"""),186.63)</f>
        <v>186.63</v>
      </c>
      <c r="F2515" s="1">
        <f>IFERROR(__xludf.DUMMYFUNCTION("""COMPUTED_VALUE"""),124561.0)</f>
        <v>124561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IFERROR(__xludf.DUMMYFUNCTION("""COMPUTED_VALUE"""),186.45)</f>
        <v>186.45</v>
      </c>
      <c r="C2516" s="1">
        <f>IFERROR(__xludf.DUMMYFUNCTION("""COMPUTED_VALUE"""),186.82)</f>
        <v>186.82</v>
      </c>
      <c r="D2516" s="1">
        <f>IFERROR(__xludf.DUMMYFUNCTION("""COMPUTED_VALUE"""),185.26)</f>
        <v>185.26</v>
      </c>
      <c r="E2516" s="1">
        <f>IFERROR(__xludf.DUMMYFUNCTION("""COMPUTED_VALUE"""),185.93)</f>
        <v>185.93</v>
      </c>
      <c r="F2516" s="1">
        <f>IFERROR(__xludf.DUMMYFUNCTION("""COMPUTED_VALUE"""),65964.0)</f>
        <v>65964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IFERROR(__xludf.DUMMYFUNCTION("""COMPUTED_VALUE"""),185.46)</f>
        <v>185.46</v>
      </c>
      <c r="C2517" s="1">
        <f>IFERROR(__xludf.DUMMYFUNCTION("""COMPUTED_VALUE"""),186.5)</f>
        <v>186.5</v>
      </c>
      <c r="D2517" s="1">
        <f>IFERROR(__xludf.DUMMYFUNCTION("""COMPUTED_VALUE"""),184.08)</f>
        <v>184.08</v>
      </c>
      <c r="E2517" s="1">
        <f>IFERROR(__xludf.DUMMYFUNCTION("""COMPUTED_VALUE"""),184.27)</f>
        <v>184.27</v>
      </c>
      <c r="F2517" s="1">
        <f>IFERROR(__xludf.DUMMYFUNCTION("""COMPUTED_VALUE"""),89606.0)</f>
        <v>89606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IFERROR(__xludf.DUMMYFUNCTION("""COMPUTED_VALUE"""),185.3)</f>
        <v>185.3</v>
      </c>
      <c r="C2518" s="1">
        <f>IFERROR(__xludf.DUMMYFUNCTION("""COMPUTED_VALUE"""),185.3)</f>
        <v>185.3</v>
      </c>
      <c r="D2518" s="1">
        <f>IFERROR(__xludf.DUMMYFUNCTION("""COMPUTED_VALUE"""),181.44)</f>
        <v>181.44</v>
      </c>
      <c r="E2518" s="1">
        <f>IFERROR(__xludf.DUMMYFUNCTION("""COMPUTED_VALUE"""),181.68)</f>
        <v>181.68</v>
      </c>
      <c r="F2518" s="1">
        <f>IFERROR(__xludf.DUMMYFUNCTION("""COMPUTED_VALUE"""),89217.0)</f>
        <v>89217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IFERROR(__xludf.DUMMYFUNCTION("""COMPUTED_VALUE"""),180.89)</f>
        <v>180.89</v>
      </c>
      <c r="C2519" s="1">
        <f>IFERROR(__xludf.DUMMYFUNCTION("""COMPUTED_VALUE"""),185.17)</f>
        <v>185.17</v>
      </c>
      <c r="D2519" s="1">
        <f>IFERROR(__xludf.DUMMYFUNCTION("""COMPUTED_VALUE"""),180.89)</f>
        <v>180.89</v>
      </c>
      <c r="E2519" s="1">
        <f>IFERROR(__xludf.DUMMYFUNCTION("""COMPUTED_VALUE"""),184.91)</f>
        <v>184.91</v>
      </c>
      <c r="F2519" s="1">
        <f>IFERROR(__xludf.DUMMYFUNCTION("""COMPUTED_VALUE"""),71713.0)</f>
        <v>71713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IFERROR(__xludf.DUMMYFUNCTION("""COMPUTED_VALUE"""),184.18)</f>
        <v>184.18</v>
      </c>
      <c r="C2520" s="1">
        <f>IFERROR(__xludf.DUMMYFUNCTION("""COMPUTED_VALUE"""),185.52)</f>
        <v>185.52</v>
      </c>
      <c r="D2520" s="1">
        <f>IFERROR(__xludf.DUMMYFUNCTION("""COMPUTED_VALUE"""),183.14)</f>
        <v>183.14</v>
      </c>
      <c r="E2520" s="1">
        <f>IFERROR(__xludf.DUMMYFUNCTION("""COMPUTED_VALUE"""),185.07)</f>
        <v>185.07</v>
      </c>
      <c r="F2520" s="1">
        <f>IFERROR(__xludf.DUMMYFUNCTION("""COMPUTED_VALUE"""),70488.0)</f>
        <v>70488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IFERROR(__xludf.DUMMYFUNCTION("""COMPUTED_VALUE"""),184.4)</f>
        <v>184.4</v>
      </c>
      <c r="C2521" s="1">
        <f>IFERROR(__xludf.DUMMYFUNCTION("""COMPUTED_VALUE"""),184.63)</f>
        <v>184.63</v>
      </c>
      <c r="D2521" s="1">
        <f>IFERROR(__xludf.DUMMYFUNCTION("""COMPUTED_VALUE"""),182.48)</f>
        <v>182.48</v>
      </c>
      <c r="E2521" s="1">
        <f>IFERROR(__xludf.DUMMYFUNCTION("""COMPUTED_VALUE"""),183.03)</f>
        <v>183.03</v>
      </c>
      <c r="F2521" s="1">
        <f>IFERROR(__xludf.DUMMYFUNCTION("""COMPUTED_VALUE"""),72702.0)</f>
        <v>72702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IFERROR(__xludf.DUMMYFUNCTION("""COMPUTED_VALUE"""),182.73)</f>
        <v>182.73</v>
      </c>
      <c r="C2522" s="1">
        <f>IFERROR(__xludf.DUMMYFUNCTION("""COMPUTED_VALUE"""),183.89)</f>
        <v>183.89</v>
      </c>
      <c r="D2522" s="1">
        <f>IFERROR(__xludf.DUMMYFUNCTION("""COMPUTED_VALUE"""),181.81)</f>
        <v>181.81</v>
      </c>
      <c r="E2522" s="1">
        <f>IFERROR(__xludf.DUMMYFUNCTION("""COMPUTED_VALUE"""),182.04)</f>
        <v>182.04</v>
      </c>
      <c r="F2522" s="1">
        <f>IFERROR(__xludf.DUMMYFUNCTION("""COMPUTED_VALUE"""),118767.0)</f>
        <v>118767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IFERROR(__xludf.DUMMYFUNCTION("""COMPUTED_VALUE"""),182.78)</f>
        <v>182.78</v>
      </c>
      <c r="C2523" s="1">
        <f>IFERROR(__xludf.DUMMYFUNCTION("""COMPUTED_VALUE"""),184.47)</f>
        <v>184.47</v>
      </c>
      <c r="D2523" s="1">
        <f>IFERROR(__xludf.DUMMYFUNCTION("""COMPUTED_VALUE"""),181.62)</f>
        <v>181.62</v>
      </c>
      <c r="E2523" s="1">
        <f>IFERROR(__xludf.DUMMYFUNCTION("""COMPUTED_VALUE"""),181.84)</f>
        <v>181.84</v>
      </c>
      <c r="F2523" s="1">
        <f>IFERROR(__xludf.DUMMYFUNCTION("""COMPUTED_VALUE"""),55641.0)</f>
        <v>55641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IFERROR(__xludf.DUMMYFUNCTION("""COMPUTED_VALUE"""),181.82)</f>
        <v>181.82</v>
      </c>
      <c r="C2524" s="1">
        <f>IFERROR(__xludf.DUMMYFUNCTION("""COMPUTED_VALUE"""),184.43)</f>
        <v>184.43</v>
      </c>
      <c r="D2524" s="1">
        <f>IFERROR(__xludf.DUMMYFUNCTION("""COMPUTED_VALUE"""),181.76)</f>
        <v>181.76</v>
      </c>
      <c r="E2524" s="1">
        <f>IFERROR(__xludf.DUMMYFUNCTION("""COMPUTED_VALUE"""),183.0)</f>
        <v>183</v>
      </c>
      <c r="F2524" s="1">
        <f>IFERROR(__xludf.DUMMYFUNCTION("""COMPUTED_VALUE"""),81700.0)</f>
        <v>81700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IFERROR(__xludf.DUMMYFUNCTION("""COMPUTED_VALUE"""),183.46)</f>
        <v>183.46</v>
      </c>
      <c r="C2525" s="1">
        <f>IFERROR(__xludf.DUMMYFUNCTION("""COMPUTED_VALUE"""),185.21)</f>
        <v>185.21</v>
      </c>
      <c r="D2525" s="1">
        <f>IFERROR(__xludf.DUMMYFUNCTION("""COMPUTED_VALUE"""),183.34)</f>
        <v>183.34</v>
      </c>
      <c r="E2525" s="1">
        <f>IFERROR(__xludf.DUMMYFUNCTION("""COMPUTED_VALUE"""),185.2)</f>
        <v>185.2</v>
      </c>
      <c r="F2525" s="1">
        <f>IFERROR(__xludf.DUMMYFUNCTION("""COMPUTED_VALUE"""),66075.0)</f>
        <v>66075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IFERROR(__xludf.DUMMYFUNCTION("""COMPUTED_VALUE"""),184.75)</f>
        <v>184.75</v>
      </c>
      <c r="C2526" s="1">
        <f>IFERROR(__xludf.DUMMYFUNCTION("""COMPUTED_VALUE"""),184.75)</f>
        <v>184.75</v>
      </c>
      <c r="D2526" s="1">
        <f>IFERROR(__xludf.DUMMYFUNCTION("""COMPUTED_VALUE"""),182.29)</f>
        <v>182.29</v>
      </c>
      <c r="E2526" s="1">
        <f>IFERROR(__xludf.DUMMYFUNCTION("""COMPUTED_VALUE"""),184.63)</f>
        <v>184.63</v>
      </c>
      <c r="F2526" s="1">
        <f>IFERROR(__xludf.DUMMYFUNCTION("""COMPUTED_VALUE"""),104031.0)</f>
        <v>104031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IFERROR(__xludf.DUMMYFUNCTION("""COMPUTED_VALUE"""),184.42)</f>
        <v>184.42</v>
      </c>
      <c r="C2527" s="1">
        <f>IFERROR(__xludf.DUMMYFUNCTION("""COMPUTED_VALUE"""),185.85)</f>
        <v>185.85</v>
      </c>
      <c r="D2527" s="1">
        <f>IFERROR(__xludf.DUMMYFUNCTION("""COMPUTED_VALUE"""),183.05)</f>
        <v>183.05</v>
      </c>
      <c r="E2527" s="1">
        <f>IFERROR(__xludf.DUMMYFUNCTION("""COMPUTED_VALUE"""),183.71)</f>
        <v>183.71</v>
      </c>
      <c r="F2527" s="1">
        <f>IFERROR(__xludf.DUMMYFUNCTION("""COMPUTED_VALUE"""),93186.0)</f>
        <v>93186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IFERROR(__xludf.DUMMYFUNCTION("""COMPUTED_VALUE"""),184.47)</f>
        <v>184.47</v>
      </c>
      <c r="C2528" s="1">
        <f>IFERROR(__xludf.DUMMYFUNCTION("""COMPUTED_VALUE"""),186.49)</f>
        <v>186.49</v>
      </c>
      <c r="D2528" s="1">
        <f>IFERROR(__xludf.DUMMYFUNCTION("""COMPUTED_VALUE"""),184.2)</f>
        <v>184.2</v>
      </c>
      <c r="E2528" s="1">
        <f>IFERROR(__xludf.DUMMYFUNCTION("""COMPUTED_VALUE"""),185.95)</f>
        <v>185.95</v>
      </c>
      <c r="F2528" s="1">
        <f>IFERROR(__xludf.DUMMYFUNCTION("""COMPUTED_VALUE"""),53842.0)</f>
        <v>53842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IFERROR(__xludf.DUMMYFUNCTION("""COMPUTED_VALUE"""),187.09)</f>
        <v>187.09</v>
      </c>
      <c r="C2529" s="1">
        <f>IFERROR(__xludf.DUMMYFUNCTION("""COMPUTED_VALUE"""),189.17)</f>
        <v>189.17</v>
      </c>
      <c r="D2529" s="1">
        <f>IFERROR(__xludf.DUMMYFUNCTION("""COMPUTED_VALUE"""),185.2)</f>
        <v>185.2</v>
      </c>
      <c r="E2529" s="1">
        <f>IFERROR(__xludf.DUMMYFUNCTION("""COMPUTED_VALUE"""),187.97)</f>
        <v>187.97</v>
      </c>
      <c r="F2529" s="1">
        <f>IFERROR(__xludf.DUMMYFUNCTION("""COMPUTED_VALUE"""),64235.0)</f>
        <v>64235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IFERROR(__xludf.DUMMYFUNCTION("""COMPUTED_VALUE"""),187.89)</f>
        <v>187.89</v>
      </c>
      <c r="C2530" s="1">
        <f>IFERROR(__xludf.DUMMYFUNCTION("""COMPUTED_VALUE"""),187.89)</f>
        <v>187.89</v>
      </c>
      <c r="D2530" s="1">
        <f>IFERROR(__xludf.DUMMYFUNCTION("""COMPUTED_VALUE"""),183.55)</f>
        <v>183.55</v>
      </c>
      <c r="E2530" s="1">
        <f>IFERROR(__xludf.DUMMYFUNCTION("""COMPUTED_VALUE"""),184.12)</f>
        <v>184.12</v>
      </c>
      <c r="F2530" s="1">
        <f>IFERROR(__xludf.DUMMYFUNCTION("""COMPUTED_VALUE"""),87792.0)</f>
        <v>87792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IFERROR(__xludf.DUMMYFUNCTION("""COMPUTED_VALUE"""),184.9)</f>
        <v>184.9</v>
      </c>
      <c r="C2531" s="1">
        <f>IFERROR(__xludf.DUMMYFUNCTION("""COMPUTED_VALUE"""),184.9)</f>
        <v>184.9</v>
      </c>
      <c r="D2531" s="1">
        <f>IFERROR(__xludf.DUMMYFUNCTION("""COMPUTED_VALUE"""),183.13)</f>
        <v>183.13</v>
      </c>
      <c r="E2531" s="1">
        <f>IFERROR(__xludf.DUMMYFUNCTION("""COMPUTED_VALUE"""),184.59)</f>
        <v>184.59</v>
      </c>
      <c r="F2531" s="1">
        <f>IFERROR(__xludf.DUMMYFUNCTION("""COMPUTED_VALUE"""),73571.0)</f>
        <v>73571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IFERROR(__xludf.DUMMYFUNCTION("""COMPUTED_VALUE"""),185.6)</f>
        <v>185.6</v>
      </c>
      <c r="C2532" s="1">
        <f>IFERROR(__xludf.DUMMYFUNCTION("""COMPUTED_VALUE"""),186.38)</f>
        <v>186.38</v>
      </c>
      <c r="D2532" s="1">
        <f>IFERROR(__xludf.DUMMYFUNCTION("""COMPUTED_VALUE"""),184.6)</f>
        <v>184.6</v>
      </c>
      <c r="E2532" s="1">
        <f>IFERROR(__xludf.DUMMYFUNCTION("""COMPUTED_VALUE"""),185.94)</f>
        <v>185.94</v>
      </c>
      <c r="F2532" s="1">
        <f>IFERROR(__xludf.DUMMYFUNCTION("""COMPUTED_VALUE"""),86990.0)</f>
        <v>86990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IFERROR(__xludf.DUMMYFUNCTION("""COMPUTED_VALUE"""),185.94)</f>
        <v>185.94</v>
      </c>
      <c r="C2533" s="1">
        <f>IFERROR(__xludf.DUMMYFUNCTION("""COMPUTED_VALUE"""),186.92)</f>
        <v>186.92</v>
      </c>
      <c r="D2533" s="1">
        <f>IFERROR(__xludf.DUMMYFUNCTION("""COMPUTED_VALUE"""),184.55)</f>
        <v>184.55</v>
      </c>
      <c r="E2533" s="1">
        <f>IFERROR(__xludf.DUMMYFUNCTION("""COMPUTED_VALUE"""),186.38)</f>
        <v>186.38</v>
      </c>
      <c r="F2533" s="1">
        <f>IFERROR(__xludf.DUMMYFUNCTION("""COMPUTED_VALUE"""),62465.0)</f>
        <v>62465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IFERROR(__xludf.DUMMYFUNCTION("""COMPUTED_VALUE"""),186.15)</f>
        <v>186.15</v>
      </c>
      <c r="C2534" s="1">
        <f>IFERROR(__xludf.DUMMYFUNCTION("""COMPUTED_VALUE"""),186.15)</f>
        <v>186.15</v>
      </c>
      <c r="D2534" s="1">
        <f>IFERROR(__xludf.DUMMYFUNCTION("""COMPUTED_VALUE"""),183.18)</f>
        <v>183.18</v>
      </c>
      <c r="E2534" s="1">
        <f>IFERROR(__xludf.DUMMYFUNCTION("""COMPUTED_VALUE"""),184.72)</f>
        <v>184.72</v>
      </c>
      <c r="F2534" s="1">
        <f>IFERROR(__xludf.DUMMYFUNCTION("""COMPUTED_VALUE"""),76566.0)</f>
        <v>76566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IFERROR(__xludf.DUMMYFUNCTION("""COMPUTED_VALUE"""),171.11)</f>
        <v>171.11</v>
      </c>
      <c r="C2535" s="1">
        <f>IFERROR(__xludf.DUMMYFUNCTION("""COMPUTED_VALUE"""),173.69)</f>
        <v>173.69</v>
      </c>
      <c r="D2535" s="1">
        <f>IFERROR(__xludf.DUMMYFUNCTION("""COMPUTED_VALUE"""),164.01)</f>
        <v>164.01</v>
      </c>
      <c r="E2535" s="1">
        <f>IFERROR(__xludf.DUMMYFUNCTION("""COMPUTED_VALUE"""),165.01)</f>
        <v>165.01</v>
      </c>
      <c r="F2535" s="1">
        <f>IFERROR(__xludf.DUMMYFUNCTION("""COMPUTED_VALUE"""),407717.0)</f>
        <v>407717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IFERROR(__xludf.DUMMYFUNCTION("""COMPUTED_VALUE"""),165.13)</f>
        <v>165.13</v>
      </c>
      <c r="C2536" s="1">
        <f>IFERROR(__xludf.DUMMYFUNCTION("""COMPUTED_VALUE"""),169.8)</f>
        <v>169.8</v>
      </c>
      <c r="D2536" s="1">
        <f>IFERROR(__xludf.DUMMYFUNCTION("""COMPUTED_VALUE"""),163.8)</f>
        <v>163.8</v>
      </c>
      <c r="E2536" s="1">
        <f>IFERROR(__xludf.DUMMYFUNCTION("""COMPUTED_VALUE"""),168.46)</f>
        <v>168.46</v>
      </c>
      <c r="F2536" s="1">
        <f>IFERROR(__xludf.DUMMYFUNCTION("""COMPUTED_VALUE"""),252517.0)</f>
        <v>252517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IFERROR(__xludf.DUMMYFUNCTION("""COMPUTED_VALUE"""),167.59)</f>
        <v>167.59</v>
      </c>
      <c r="C2537" s="1">
        <f>IFERROR(__xludf.DUMMYFUNCTION("""COMPUTED_VALUE"""),170.76)</f>
        <v>170.76</v>
      </c>
      <c r="D2537" s="1">
        <f>IFERROR(__xludf.DUMMYFUNCTION("""COMPUTED_VALUE"""),167.27)</f>
        <v>167.27</v>
      </c>
      <c r="E2537" s="1">
        <f>IFERROR(__xludf.DUMMYFUNCTION("""COMPUTED_VALUE"""),168.7)</f>
        <v>168.7</v>
      </c>
      <c r="F2537" s="1">
        <f>IFERROR(__xludf.DUMMYFUNCTION("""COMPUTED_VALUE"""),108898.0)</f>
        <v>108898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IFERROR(__xludf.DUMMYFUNCTION("""COMPUTED_VALUE"""),168.72)</f>
        <v>168.72</v>
      </c>
      <c r="C2538" s="1">
        <f>IFERROR(__xludf.DUMMYFUNCTION("""COMPUTED_VALUE"""),169.31)</f>
        <v>169.31</v>
      </c>
      <c r="D2538" s="1">
        <f>IFERROR(__xludf.DUMMYFUNCTION("""COMPUTED_VALUE"""),164.17)</f>
        <v>164.17</v>
      </c>
      <c r="E2538" s="1">
        <f>IFERROR(__xludf.DUMMYFUNCTION("""COMPUTED_VALUE"""),165.84)</f>
        <v>165.84</v>
      </c>
      <c r="F2538" s="1">
        <f>IFERROR(__xludf.DUMMYFUNCTION("""COMPUTED_VALUE"""),159580.0)</f>
        <v>159580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IFERROR(__xludf.DUMMYFUNCTION("""COMPUTED_VALUE"""),165.84)</f>
        <v>165.84</v>
      </c>
      <c r="C2539" s="1">
        <f>IFERROR(__xludf.DUMMYFUNCTION("""COMPUTED_VALUE"""),167.49)</f>
        <v>167.49</v>
      </c>
      <c r="D2539" s="1">
        <f>IFERROR(__xludf.DUMMYFUNCTION("""COMPUTED_VALUE"""),164.02)</f>
        <v>164.02</v>
      </c>
      <c r="E2539" s="1">
        <f>IFERROR(__xludf.DUMMYFUNCTION("""COMPUTED_VALUE"""),165.21)</f>
        <v>165.21</v>
      </c>
      <c r="F2539" s="1">
        <f>IFERROR(__xludf.DUMMYFUNCTION("""COMPUTED_VALUE"""),126765.0)</f>
        <v>126765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IFERROR(__xludf.DUMMYFUNCTION("""COMPUTED_VALUE"""),165.45)</f>
        <v>165.45</v>
      </c>
      <c r="C2540" s="1">
        <f>IFERROR(__xludf.DUMMYFUNCTION("""COMPUTED_VALUE"""),167.89)</f>
        <v>167.89</v>
      </c>
      <c r="D2540" s="1">
        <f>IFERROR(__xludf.DUMMYFUNCTION("""COMPUTED_VALUE"""),164.31)</f>
        <v>164.31</v>
      </c>
      <c r="E2540" s="1">
        <f>IFERROR(__xludf.DUMMYFUNCTION("""COMPUTED_VALUE"""),165.26)</f>
        <v>165.26</v>
      </c>
      <c r="F2540" s="1">
        <f>IFERROR(__xludf.DUMMYFUNCTION("""COMPUTED_VALUE"""),81726.0)</f>
        <v>81726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IFERROR(__xludf.DUMMYFUNCTION("""COMPUTED_VALUE"""),165.91)</f>
        <v>165.91</v>
      </c>
      <c r="C2541" s="1">
        <f>IFERROR(__xludf.DUMMYFUNCTION("""COMPUTED_VALUE"""),167.47)</f>
        <v>167.47</v>
      </c>
      <c r="D2541" s="1">
        <f>IFERROR(__xludf.DUMMYFUNCTION("""COMPUTED_VALUE"""),164.64)</f>
        <v>164.64</v>
      </c>
      <c r="E2541" s="1">
        <f>IFERROR(__xludf.DUMMYFUNCTION("""COMPUTED_VALUE"""),167.09)</f>
        <v>167.09</v>
      </c>
      <c r="F2541" s="1">
        <f>IFERROR(__xludf.DUMMYFUNCTION("""COMPUTED_VALUE"""),63738.0)</f>
        <v>63738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IFERROR(__xludf.DUMMYFUNCTION("""COMPUTED_VALUE"""),167.72)</f>
        <v>167.72</v>
      </c>
      <c r="C2542" s="1">
        <f>IFERROR(__xludf.DUMMYFUNCTION("""COMPUTED_VALUE"""),168.75)</f>
        <v>168.75</v>
      </c>
      <c r="D2542" s="1">
        <f>IFERROR(__xludf.DUMMYFUNCTION("""COMPUTED_VALUE"""),167.2)</f>
        <v>167.2</v>
      </c>
      <c r="E2542" s="1">
        <f>IFERROR(__xludf.DUMMYFUNCTION("""COMPUTED_VALUE"""),168.57)</f>
        <v>168.57</v>
      </c>
      <c r="F2542" s="1">
        <f>IFERROR(__xludf.DUMMYFUNCTION("""COMPUTED_VALUE"""),79383.0)</f>
        <v>79383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IFERROR(__xludf.DUMMYFUNCTION("""COMPUTED_VALUE"""),167.9)</f>
        <v>167.9</v>
      </c>
      <c r="C2543" s="1">
        <f>IFERROR(__xludf.DUMMYFUNCTION("""COMPUTED_VALUE"""),169.77)</f>
        <v>169.77</v>
      </c>
      <c r="D2543" s="1">
        <f>IFERROR(__xludf.DUMMYFUNCTION("""COMPUTED_VALUE"""),167.43)</f>
        <v>167.43</v>
      </c>
      <c r="E2543" s="1">
        <f>IFERROR(__xludf.DUMMYFUNCTION("""COMPUTED_VALUE"""),169.39)</f>
        <v>169.39</v>
      </c>
      <c r="F2543" s="1">
        <f>IFERROR(__xludf.DUMMYFUNCTION("""COMPUTED_VALUE"""),100887.0)</f>
        <v>100887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IFERROR(__xludf.DUMMYFUNCTION("""COMPUTED_VALUE"""),169.41)</f>
        <v>169.41</v>
      </c>
      <c r="C2544" s="1">
        <f>IFERROR(__xludf.DUMMYFUNCTION("""COMPUTED_VALUE"""),170.25)</f>
        <v>170.25</v>
      </c>
      <c r="D2544" s="1">
        <f>IFERROR(__xludf.DUMMYFUNCTION("""COMPUTED_VALUE"""),168.25)</f>
        <v>168.25</v>
      </c>
      <c r="E2544" s="1">
        <f>IFERROR(__xludf.DUMMYFUNCTION("""COMPUTED_VALUE"""),169.94)</f>
        <v>169.94</v>
      </c>
      <c r="F2544" s="1">
        <f>IFERROR(__xludf.DUMMYFUNCTION("""COMPUTED_VALUE"""),87880.0)</f>
        <v>87880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IFERROR(__xludf.DUMMYFUNCTION("""COMPUTED_VALUE"""),170.39)</f>
        <v>170.39</v>
      </c>
      <c r="C2545" s="1">
        <f>IFERROR(__xludf.DUMMYFUNCTION("""COMPUTED_VALUE"""),171.99)</f>
        <v>171.99</v>
      </c>
      <c r="D2545" s="1">
        <f>IFERROR(__xludf.DUMMYFUNCTION("""COMPUTED_VALUE"""),169.27)</f>
        <v>169.27</v>
      </c>
      <c r="E2545" s="1">
        <f>IFERROR(__xludf.DUMMYFUNCTION("""COMPUTED_VALUE"""),171.25)</f>
        <v>171.25</v>
      </c>
      <c r="F2545" s="1">
        <f>IFERROR(__xludf.DUMMYFUNCTION("""COMPUTED_VALUE"""),75192.0)</f>
        <v>75192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IFERROR(__xludf.DUMMYFUNCTION("""COMPUTED_VALUE"""),171.09)</f>
        <v>171.09</v>
      </c>
      <c r="C2546" s="1">
        <f>IFERROR(__xludf.DUMMYFUNCTION("""COMPUTED_VALUE"""),171.57)</f>
        <v>171.57</v>
      </c>
      <c r="D2546" s="1">
        <f>IFERROR(__xludf.DUMMYFUNCTION("""COMPUTED_VALUE"""),170.48)</f>
        <v>170.48</v>
      </c>
      <c r="E2546" s="1">
        <f>IFERROR(__xludf.DUMMYFUNCTION("""COMPUTED_VALUE"""),171.21)</f>
        <v>171.21</v>
      </c>
      <c r="F2546" s="1">
        <f>IFERROR(__xludf.DUMMYFUNCTION("""COMPUTED_VALUE"""),125297.0)</f>
        <v>125297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IFERROR(__xludf.DUMMYFUNCTION("""COMPUTED_VALUE"""),170.39)</f>
        <v>170.39</v>
      </c>
      <c r="C2547" s="1">
        <f>IFERROR(__xludf.DUMMYFUNCTION("""COMPUTED_VALUE"""),173.69)</f>
        <v>173.69</v>
      </c>
      <c r="D2547" s="1">
        <f>IFERROR(__xludf.DUMMYFUNCTION("""COMPUTED_VALUE"""),170.39)</f>
        <v>170.39</v>
      </c>
      <c r="E2547" s="1">
        <f>IFERROR(__xludf.DUMMYFUNCTION("""COMPUTED_VALUE"""),173.05)</f>
        <v>173.05</v>
      </c>
      <c r="F2547" s="1">
        <f>IFERROR(__xludf.DUMMYFUNCTION("""COMPUTED_VALUE"""),65671.0)</f>
        <v>65671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IFERROR(__xludf.DUMMYFUNCTION("""COMPUTED_VALUE"""),173.44)</f>
        <v>173.44</v>
      </c>
      <c r="C2548" s="1">
        <f>IFERROR(__xludf.DUMMYFUNCTION("""COMPUTED_VALUE"""),173.89)</f>
        <v>173.89</v>
      </c>
      <c r="D2548" s="1">
        <f>IFERROR(__xludf.DUMMYFUNCTION("""COMPUTED_VALUE"""),172.31)</f>
        <v>172.31</v>
      </c>
      <c r="E2548" s="1">
        <f>IFERROR(__xludf.DUMMYFUNCTION("""COMPUTED_VALUE"""),173.59)</f>
        <v>173.59</v>
      </c>
      <c r="F2548" s="1">
        <f>IFERROR(__xludf.DUMMYFUNCTION("""COMPUTED_VALUE"""),106245.0)</f>
        <v>106245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IFERROR(__xludf.DUMMYFUNCTION("""COMPUTED_VALUE"""),173.53)</f>
        <v>173.53</v>
      </c>
      <c r="C2549" s="1">
        <f>IFERROR(__xludf.DUMMYFUNCTION("""COMPUTED_VALUE"""),174.0)</f>
        <v>174</v>
      </c>
      <c r="D2549" s="1">
        <f>IFERROR(__xludf.DUMMYFUNCTION("""COMPUTED_VALUE"""),171.14)</f>
        <v>171.14</v>
      </c>
      <c r="E2549" s="1">
        <f>IFERROR(__xludf.DUMMYFUNCTION("""COMPUTED_VALUE"""),172.11)</f>
        <v>172.11</v>
      </c>
      <c r="F2549" s="1">
        <f>IFERROR(__xludf.DUMMYFUNCTION("""COMPUTED_VALUE"""),69864.0)</f>
        <v>69864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IFERROR(__xludf.DUMMYFUNCTION("""COMPUTED_VALUE"""),173.09)</f>
        <v>173.09</v>
      </c>
      <c r="C2550" s="1">
        <f>IFERROR(__xludf.DUMMYFUNCTION("""COMPUTED_VALUE"""),174.2)</f>
        <v>174.2</v>
      </c>
      <c r="D2550" s="1">
        <f>IFERROR(__xludf.DUMMYFUNCTION("""COMPUTED_VALUE"""),171.68)</f>
        <v>171.68</v>
      </c>
      <c r="E2550" s="1">
        <f>IFERROR(__xludf.DUMMYFUNCTION("""COMPUTED_VALUE"""),173.94)</f>
        <v>173.94</v>
      </c>
      <c r="F2550" s="1">
        <f>IFERROR(__xludf.DUMMYFUNCTION("""COMPUTED_VALUE"""),87275.0)</f>
        <v>87275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IFERROR(__xludf.DUMMYFUNCTION("""COMPUTED_VALUE"""),173.68)</f>
        <v>173.68</v>
      </c>
      <c r="C2551" s="1">
        <f>IFERROR(__xludf.DUMMYFUNCTION("""COMPUTED_VALUE"""),174.91)</f>
        <v>174.91</v>
      </c>
      <c r="D2551" s="1">
        <f>IFERROR(__xludf.DUMMYFUNCTION("""COMPUTED_VALUE"""),171.14)</f>
        <v>171.14</v>
      </c>
      <c r="E2551" s="1">
        <f>IFERROR(__xludf.DUMMYFUNCTION("""COMPUTED_VALUE"""),174.58)</f>
        <v>174.58</v>
      </c>
      <c r="F2551" s="1">
        <f>IFERROR(__xludf.DUMMYFUNCTION("""COMPUTED_VALUE"""),66871.0)</f>
        <v>66871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IFERROR(__xludf.DUMMYFUNCTION("""COMPUTED_VALUE"""),174.78)</f>
        <v>174.78</v>
      </c>
      <c r="C2552" s="1">
        <f>IFERROR(__xludf.DUMMYFUNCTION("""COMPUTED_VALUE"""),175.56)</f>
        <v>175.56</v>
      </c>
      <c r="D2552" s="1">
        <f>IFERROR(__xludf.DUMMYFUNCTION("""COMPUTED_VALUE"""),173.18)</f>
        <v>173.18</v>
      </c>
      <c r="E2552" s="1">
        <f>IFERROR(__xludf.DUMMYFUNCTION("""COMPUTED_VALUE"""),175.04)</f>
        <v>175.04</v>
      </c>
      <c r="F2552" s="1">
        <f>IFERROR(__xludf.DUMMYFUNCTION("""COMPUTED_VALUE"""),131435.0)</f>
        <v>131435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IFERROR(__xludf.DUMMYFUNCTION("""COMPUTED_VALUE"""),173.34)</f>
        <v>173.34</v>
      </c>
      <c r="C2553" s="1">
        <f>IFERROR(__xludf.DUMMYFUNCTION("""COMPUTED_VALUE"""),175.99)</f>
        <v>175.99</v>
      </c>
      <c r="D2553" s="1">
        <f>IFERROR(__xludf.DUMMYFUNCTION("""COMPUTED_VALUE"""),173.0)</f>
        <v>173</v>
      </c>
      <c r="E2553" s="1">
        <f>IFERROR(__xludf.DUMMYFUNCTION("""COMPUTED_VALUE"""),175.64)</f>
        <v>175.64</v>
      </c>
      <c r="F2553" s="1">
        <f>IFERROR(__xludf.DUMMYFUNCTION("""COMPUTED_VALUE"""),105719.0)</f>
        <v>105719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IFERROR(__xludf.DUMMYFUNCTION("""COMPUTED_VALUE"""),175.42)</f>
        <v>175.42</v>
      </c>
      <c r="C2554" s="1">
        <f>IFERROR(__xludf.DUMMYFUNCTION("""COMPUTED_VALUE"""),175.62)</f>
        <v>175.62</v>
      </c>
      <c r="D2554" s="1">
        <f>IFERROR(__xludf.DUMMYFUNCTION("""COMPUTED_VALUE"""),173.55)</f>
        <v>173.55</v>
      </c>
      <c r="E2554" s="1">
        <f>IFERROR(__xludf.DUMMYFUNCTION("""COMPUTED_VALUE"""),174.78)</f>
        <v>174.78</v>
      </c>
      <c r="F2554" s="1">
        <f>IFERROR(__xludf.DUMMYFUNCTION("""COMPUTED_VALUE"""),172146.0)</f>
        <v>172146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IFERROR(__xludf.DUMMYFUNCTION("""COMPUTED_VALUE"""),174.94)</f>
        <v>174.94</v>
      </c>
      <c r="C2555" s="1">
        <f>IFERROR(__xludf.DUMMYFUNCTION("""COMPUTED_VALUE"""),176.01)</f>
        <v>176.01</v>
      </c>
      <c r="D2555" s="1">
        <f>IFERROR(__xludf.DUMMYFUNCTION("""COMPUTED_VALUE"""),171.25)</f>
        <v>171.25</v>
      </c>
      <c r="E2555" s="1">
        <f>IFERROR(__xludf.DUMMYFUNCTION("""COMPUTED_VALUE"""),171.58)</f>
        <v>171.58</v>
      </c>
      <c r="F2555" s="1">
        <f>IFERROR(__xludf.DUMMYFUNCTION("""COMPUTED_VALUE"""),87684.0)</f>
        <v>87684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IFERROR(__xludf.DUMMYFUNCTION("""COMPUTED_VALUE"""),170.01)</f>
        <v>170.01</v>
      </c>
      <c r="C2556" s="1">
        <f>IFERROR(__xludf.DUMMYFUNCTION("""COMPUTED_VALUE"""),170.86)</f>
        <v>170.86</v>
      </c>
      <c r="D2556" s="1">
        <f>IFERROR(__xludf.DUMMYFUNCTION("""COMPUTED_VALUE"""),166.54)</f>
        <v>166.54</v>
      </c>
      <c r="E2556" s="1">
        <f>IFERROR(__xludf.DUMMYFUNCTION("""COMPUTED_VALUE"""),166.82)</f>
        <v>166.82</v>
      </c>
      <c r="F2556" s="1">
        <f>IFERROR(__xludf.DUMMYFUNCTION("""COMPUTED_VALUE"""),96250.0)</f>
        <v>96250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IFERROR(__xludf.DUMMYFUNCTION("""COMPUTED_VALUE"""),164.33)</f>
        <v>164.33</v>
      </c>
      <c r="C2557" s="1">
        <f>IFERROR(__xludf.DUMMYFUNCTION("""COMPUTED_VALUE"""),166.25)</f>
        <v>166.25</v>
      </c>
      <c r="D2557" s="1">
        <f>IFERROR(__xludf.DUMMYFUNCTION("""COMPUTED_VALUE"""),158.87)</f>
        <v>158.87</v>
      </c>
      <c r="E2557" s="1">
        <f>IFERROR(__xludf.DUMMYFUNCTION("""COMPUTED_VALUE"""),160.82)</f>
        <v>160.82</v>
      </c>
      <c r="F2557" s="1">
        <f>IFERROR(__xludf.DUMMYFUNCTION("""COMPUTED_VALUE"""),149543.0)</f>
        <v>149543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IFERROR(__xludf.DUMMYFUNCTION("""COMPUTED_VALUE"""),160.72)</f>
        <v>160.72</v>
      </c>
      <c r="C2558" s="1">
        <f>IFERROR(__xludf.DUMMYFUNCTION("""COMPUTED_VALUE"""),164.26)</f>
        <v>164.26</v>
      </c>
      <c r="D2558" s="1">
        <f>IFERROR(__xludf.DUMMYFUNCTION("""COMPUTED_VALUE"""),158.88)</f>
        <v>158.88</v>
      </c>
      <c r="E2558" s="1">
        <f>IFERROR(__xludf.DUMMYFUNCTION("""COMPUTED_VALUE"""),163.97)</f>
        <v>163.97</v>
      </c>
      <c r="F2558" s="1">
        <f>IFERROR(__xludf.DUMMYFUNCTION("""COMPUTED_VALUE"""),128885.0)</f>
        <v>128885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IFERROR(__xludf.DUMMYFUNCTION("""COMPUTED_VALUE"""),163.81)</f>
        <v>163.81</v>
      </c>
      <c r="C2559" s="1">
        <f>IFERROR(__xludf.DUMMYFUNCTION("""COMPUTED_VALUE"""),166.94)</f>
        <v>166.94</v>
      </c>
      <c r="D2559" s="1">
        <f>IFERROR(__xludf.DUMMYFUNCTION("""COMPUTED_VALUE"""),162.48)</f>
        <v>162.48</v>
      </c>
      <c r="E2559" s="1">
        <f>IFERROR(__xludf.DUMMYFUNCTION("""COMPUTED_VALUE"""),164.19)</f>
        <v>164.19</v>
      </c>
      <c r="F2559" s="1">
        <f>IFERROR(__xludf.DUMMYFUNCTION("""COMPUTED_VALUE"""),97405.0)</f>
        <v>97405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IFERROR(__xludf.DUMMYFUNCTION("""COMPUTED_VALUE"""),165.89)</f>
        <v>165.89</v>
      </c>
      <c r="C2560" s="1">
        <f>IFERROR(__xludf.DUMMYFUNCTION("""COMPUTED_VALUE"""),168.08)</f>
        <v>168.08</v>
      </c>
      <c r="D2560" s="1">
        <f>IFERROR(__xludf.DUMMYFUNCTION("""COMPUTED_VALUE"""),165.02)</f>
        <v>165.02</v>
      </c>
      <c r="E2560" s="1">
        <f>IFERROR(__xludf.DUMMYFUNCTION("""COMPUTED_VALUE"""),167.53)</f>
        <v>167.53</v>
      </c>
      <c r="F2560" s="1">
        <f>IFERROR(__xludf.DUMMYFUNCTION("""COMPUTED_VALUE"""),104354.0)</f>
        <v>104354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IFERROR(__xludf.DUMMYFUNCTION("""COMPUTED_VALUE"""),166.03)</f>
        <v>166.03</v>
      </c>
      <c r="C2561" s="1">
        <f>IFERROR(__xludf.DUMMYFUNCTION("""COMPUTED_VALUE"""),166.54)</f>
        <v>166.54</v>
      </c>
      <c r="D2561" s="1">
        <f>IFERROR(__xludf.DUMMYFUNCTION("""COMPUTED_VALUE"""),156.81)</f>
        <v>156.81</v>
      </c>
      <c r="E2561" s="1">
        <f>IFERROR(__xludf.DUMMYFUNCTION("""COMPUTED_VALUE"""),159.11)</f>
        <v>159.11</v>
      </c>
      <c r="F2561" s="1">
        <f>IFERROR(__xludf.DUMMYFUNCTION("""COMPUTED_VALUE"""),193466.0)</f>
        <v>193466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IFERROR(__xludf.DUMMYFUNCTION("""COMPUTED_VALUE"""),156.44)</f>
        <v>156.44</v>
      </c>
      <c r="C2562" s="1">
        <f>IFERROR(__xludf.DUMMYFUNCTION("""COMPUTED_VALUE"""),161.6)</f>
        <v>161.6</v>
      </c>
      <c r="D2562" s="1">
        <f>IFERROR(__xludf.DUMMYFUNCTION("""COMPUTED_VALUE"""),153.97)</f>
        <v>153.97</v>
      </c>
      <c r="E2562" s="1">
        <f>IFERROR(__xludf.DUMMYFUNCTION("""COMPUTED_VALUE"""),161.13)</f>
        <v>161.13</v>
      </c>
      <c r="F2562" s="1">
        <f>IFERROR(__xludf.DUMMYFUNCTION("""COMPUTED_VALUE"""),125605.0)</f>
        <v>125605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IFERROR(__xludf.DUMMYFUNCTION("""COMPUTED_VALUE"""),156.46)</f>
        <v>156.46</v>
      </c>
      <c r="C2563" s="1">
        <f>IFERROR(__xludf.DUMMYFUNCTION("""COMPUTED_VALUE"""),156.46)</f>
        <v>156.46</v>
      </c>
      <c r="D2563" s="1">
        <f>IFERROR(__xludf.DUMMYFUNCTION("""COMPUTED_VALUE"""),149.06)</f>
        <v>149.06</v>
      </c>
      <c r="E2563" s="1">
        <f>IFERROR(__xludf.DUMMYFUNCTION("""COMPUTED_VALUE"""),150.63)</f>
        <v>150.63</v>
      </c>
      <c r="F2563" s="1">
        <f>IFERROR(__xludf.DUMMYFUNCTION("""COMPUTED_VALUE"""),168284.0)</f>
        <v>168284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IFERROR(__xludf.DUMMYFUNCTION("""COMPUTED_VALUE"""),152.0)</f>
        <v>152</v>
      </c>
      <c r="C2564" s="1">
        <f>IFERROR(__xludf.DUMMYFUNCTION("""COMPUTED_VALUE"""),157.81)</f>
        <v>157.81</v>
      </c>
      <c r="D2564" s="1">
        <f>IFERROR(__xludf.DUMMYFUNCTION("""COMPUTED_VALUE"""),150.26)</f>
        <v>150.26</v>
      </c>
      <c r="E2564" s="1">
        <f>IFERROR(__xludf.DUMMYFUNCTION("""COMPUTED_VALUE"""),156.57)</f>
        <v>156.57</v>
      </c>
      <c r="F2564" s="1">
        <f>IFERROR(__xludf.DUMMYFUNCTION("""COMPUTED_VALUE"""),151849.0)</f>
        <v>151849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IFERROR(__xludf.DUMMYFUNCTION("""COMPUTED_VALUE"""),154.01)</f>
        <v>154.01</v>
      </c>
      <c r="C2565" s="1">
        <f>IFERROR(__xludf.DUMMYFUNCTION("""COMPUTED_VALUE"""),154.01)</f>
        <v>154.01</v>
      </c>
      <c r="D2565" s="1">
        <f>IFERROR(__xludf.DUMMYFUNCTION("""COMPUTED_VALUE"""),144.59)</f>
        <v>144.59</v>
      </c>
      <c r="E2565" s="1">
        <f>IFERROR(__xludf.DUMMYFUNCTION("""COMPUTED_VALUE"""),146.2)</f>
        <v>146.2</v>
      </c>
      <c r="F2565" s="1">
        <f>IFERROR(__xludf.DUMMYFUNCTION("""COMPUTED_VALUE"""),214426.0)</f>
        <v>214426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IFERROR(__xludf.DUMMYFUNCTION("""COMPUTED_VALUE"""),139.14)</f>
        <v>139.14</v>
      </c>
      <c r="C2566" s="1">
        <f>IFERROR(__xludf.DUMMYFUNCTION("""COMPUTED_VALUE"""),139.14)</f>
        <v>139.14</v>
      </c>
      <c r="D2566" s="1">
        <f>IFERROR(__xludf.DUMMYFUNCTION("""COMPUTED_VALUE"""),125.94)</f>
        <v>125.94</v>
      </c>
      <c r="E2566" s="1">
        <f>IFERROR(__xludf.DUMMYFUNCTION("""COMPUTED_VALUE"""),126.55)</f>
        <v>126.55</v>
      </c>
      <c r="F2566" s="1">
        <f>IFERROR(__xludf.DUMMYFUNCTION("""COMPUTED_VALUE"""),206614.0)</f>
        <v>206614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IFERROR(__xludf.DUMMYFUNCTION("""COMPUTED_VALUE"""),131.49)</f>
        <v>131.49</v>
      </c>
      <c r="C2567" s="1">
        <f>IFERROR(__xludf.DUMMYFUNCTION("""COMPUTED_VALUE"""),135.05)</f>
        <v>135.05</v>
      </c>
      <c r="D2567" s="1">
        <f>IFERROR(__xludf.DUMMYFUNCTION("""COMPUTED_VALUE"""),123.56)</f>
        <v>123.56</v>
      </c>
      <c r="E2567" s="1">
        <f>IFERROR(__xludf.DUMMYFUNCTION("""COMPUTED_VALUE"""),135.0)</f>
        <v>135</v>
      </c>
      <c r="F2567" s="1">
        <f>IFERROR(__xludf.DUMMYFUNCTION("""COMPUTED_VALUE"""),163816.0)</f>
        <v>163816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IFERROR(__xludf.DUMMYFUNCTION("""COMPUTED_VALUE"""),126.48)</f>
        <v>126.48</v>
      </c>
      <c r="C2568" s="1">
        <f>IFERROR(__xludf.DUMMYFUNCTION("""COMPUTED_VALUE"""),128.85)</f>
        <v>128.85</v>
      </c>
      <c r="D2568" s="1">
        <f>IFERROR(__xludf.DUMMYFUNCTION("""COMPUTED_VALUE"""),108.16)</f>
        <v>108.16</v>
      </c>
      <c r="E2568" s="1">
        <f>IFERROR(__xludf.DUMMYFUNCTION("""COMPUTED_VALUE"""),110.18)</f>
        <v>110.18</v>
      </c>
      <c r="F2568" s="1">
        <f>IFERROR(__xludf.DUMMYFUNCTION("""COMPUTED_VALUE"""),219961.0)</f>
        <v>219961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IFERROR(__xludf.DUMMYFUNCTION("""COMPUTED_VALUE"""),111.0)</f>
        <v>111</v>
      </c>
      <c r="C2569" s="1">
        <f>IFERROR(__xludf.DUMMYFUNCTION("""COMPUTED_VALUE"""),119.81)</f>
        <v>119.81</v>
      </c>
      <c r="D2569" s="1">
        <f>IFERROR(__xludf.DUMMYFUNCTION("""COMPUTED_VALUE"""),110.98)</f>
        <v>110.98</v>
      </c>
      <c r="E2569" s="1">
        <f>IFERROR(__xludf.DUMMYFUNCTION("""COMPUTED_VALUE"""),119.67)</f>
        <v>119.67</v>
      </c>
      <c r="F2569" s="1">
        <f>IFERROR(__xludf.DUMMYFUNCTION("""COMPUTED_VALUE"""),337763.0)</f>
        <v>337763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IFERROR(__xludf.DUMMYFUNCTION("""COMPUTED_VALUE"""),116.74)</f>
        <v>116.74</v>
      </c>
      <c r="C2570" s="1">
        <f>IFERROR(__xludf.DUMMYFUNCTION("""COMPUTED_VALUE"""),125.38)</f>
        <v>125.38</v>
      </c>
      <c r="D2570" s="1">
        <f>IFERROR(__xludf.DUMMYFUNCTION("""COMPUTED_VALUE"""),112.52)</f>
        <v>112.52</v>
      </c>
      <c r="E2570" s="1">
        <f>IFERROR(__xludf.DUMMYFUNCTION("""COMPUTED_VALUE"""),115.45)</f>
        <v>115.45</v>
      </c>
      <c r="F2570" s="1">
        <f>IFERROR(__xludf.DUMMYFUNCTION("""COMPUTED_VALUE"""),240722.0)</f>
        <v>240722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IFERROR(__xludf.DUMMYFUNCTION("""COMPUTED_VALUE"""),114.2)</f>
        <v>114.2</v>
      </c>
      <c r="C2571" s="1">
        <f>IFERROR(__xludf.DUMMYFUNCTION("""COMPUTED_VALUE"""),125.49)</f>
        <v>125.49</v>
      </c>
      <c r="D2571" s="1">
        <f>IFERROR(__xludf.DUMMYFUNCTION("""COMPUTED_VALUE"""),112.16)</f>
        <v>112.16</v>
      </c>
      <c r="E2571" s="1">
        <f>IFERROR(__xludf.DUMMYFUNCTION("""COMPUTED_VALUE"""),124.19)</f>
        <v>124.19</v>
      </c>
      <c r="F2571" s="1">
        <f>IFERROR(__xludf.DUMMYFUNCTION("""COMPUTED_VALUE"""),200872.0)</f>
        <v>200872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IFERROR(__xludf.DUMMYFUNCTION("""COMPUTED_VALUE"""),124.6)</f>
        <v>124.6</v>
      </c>
      <c r="C2572" s="1">
        <f>IFERROR(__xludf.DUMMYFUNCTION("""COMPUTED_VALUE"""),128.82)</f>
        <v>128.82</v>
      </c>
      <c r="D2572" s="1">
        <f>IFERROR(__xludf.DUMMYFUNCTION("""COMPUTED_VALUE"""),121.53)</f>
        <v>121.53</v>
      </c>
      <c r="E2572" s="1">
        <f>IFERROR(__xludf.DUMMYFUNCTION("""COMPUTED_VALUE"""),123.8)</f>
        <v>123.8</v>
      </c>
      <c r="F2572" s="1">
        <f>IFERROR(__xludf.DUMMYFUNCTION("""COMPUTED_VALUE"""),269947.0)</f>
        <v>269947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IFERROR(__xludf.DUMMYFUNCTION("""COMPUTED_VALUE"""),120.93)</f>
        <v>120.93</v>
      </c>
      <c r="C2573" s="1">
        <f>IFERROR(__xludf.DUMMYFUNCTION("""COMPUTED_VALUE"""),122.45)</f>
        <v>122.45</v>
      </c>
      <c r="D2573" s="1">
        <f>IFERROR(__xludf.DUMMYFUNCTION("""COMPUTED_VALUE"""),105.67)</f>
        <v>105.67</v>
      </c>
      <c r="E2573" s="1">
        <f>IFERROR(__xludf.DUMMYFUNCTION("""COMPUTED_VALUE"""),108.42)</f>
        <v>108.42</v>
      </c>
      <c r="F2573" s="1">
        <f>IFERROR(__xludf.DUMMYFUNCTION("""COMPUTED_VALUE"""),218833.0)</f>
        <v>218833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IFERROR(__xludf.DUMMYFUNCTION("""COMPUTED_VALUE"""),112.72)</f>
        <v>112.72</v>
      </c>
      <c r="C2574" s="1">
        <f>IFERROR(__xludf.DUMMYFUNCTION("""COMPUTED_VALUE"""),127.95)</f>
        <v>127.95</v>
      </c>
      <c r="D2574" s="1">
        <f>IFERROR(__xludf.DUMMYFUNCTION("""COMPUTED_VALUE"""),110.03)</f>
        <v>110.03</v>
      </c>
      <c r="E2574" s="1">
        <f>IFERROR(__xludf.DUMMYFUNCTION("""COMPUTED_VALUE"""),125.76)</f>
        <v>125.76</v>
      </c>
      <c r="F2574" s="1">
        <f>IFERROR(__xludf.DUMMYFUNCTION("""COMPUTED_VALUE"""),130493.0)</f>
        <v>130493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IFERROR(__xludf.DUMMYFUNCTION("""COMPUTED_VALUE"""),125.92)</f>
        <v>125.92</v>
      </c>
      <c r="C2575" s="1">
        <f>IFERROR(__xludf.DUMMYFUNCTION("""COMPUTED_VALUE"""),127.11)</f>
        <v>127.11</v>
      </c>
      <c r="D2575" s="1">
        <f>IFERROR(__xludf.DUMMYFUNCTION("""COMPUTED_VALUE"""),117.83)</f>
        <v>117.83</v>
      </c>
      <c r="E2575" s="1">
        <f>IFERROR(__xludf.DUMMYFUNCTION("""COMPUTED_VALUE"""),118.65)</f>
        <v>118.65</v>
      </c>
      <c r="F2575" s="1">
        <f>IFERROR(__xludf.DUMMYFUNCTION("""COMPUTED_VALUE"""),141018.0)</f>
        <v>141018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IFERROR(__xludf.DUMMYFUNCTION("""COMPUTED_VALUE"""),118.71)</f>
        <v>118.71</v>
      </c>
      <c r="C2576" s="1">
        <f>IFERROR(__xludf.DUMMYFUNCTION("""COMPUTED_VALUE"""),126.6)</f>
        <v>126.6</v>
      </c>
      <c r="D2576" s="1">
        <f>IFERROR(__xludf.DUMMYFUNCTION("""COMPUTED_VALUE"""),116.63)</f>
        <v>116.63</v>
      </c>
      <c r="E2576" s="1">
        <f>IFERROR(__xludf.DUMMYFUNCTION("""COMPUTED_VALUE"""),118.76)</f>
        <v>118.76</v>
      </c>
      <c r="F2576" s="1">
        <f>IFERROR(__xludf.DUMMYFUNCTION("""COMPUTED_VALUE"""),157148.0)</f>
        <v>157148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IFERROR(__xludf.DUMMYFUNCTION("""COMPUTED_VALUE"""),115.11)</f>
        <v>115.11</v>
      </c>
      <c r="C2577" s="1">
        <f>IFERROR(__xludf.DUMMYFUNCTION("""COMPUTED_VALUE"""),119.96)</f>
        <v>119.96</v>
      </c>
      <c r="D2577" s="1">
        <f>IFERROR(__xludf.DUMMYFUNCTION("""COMPUTED_VALUE"""),113.17)</f>
        <v>113.17</v>
      </c>
      <c r="E2577" s="1">
        <f>IFERROR(__xludf.DUMMYFUNCTION("""COMPUTED_VALUE"""),114.56)</f>
        <v>114.56</v>
      </c>
      <c r="F2577" s="1">
        <f>IFERROR(__xludf.DUMMYFUNCTION("""COMPUTED_VALUE"""),145633.0)</f>
        <v>145633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IFERROR(__xludf.DUMMYFUNCTION("""COMPUTED_VALUE"""),118.85)</f>
        <v>118.85</v>
      </c>
      <c r="C2578" s="1">
        <f>IFERROR(__xludf.DUMMYFUNCTION("""COMPUTED_VALUE"""),125.42)</f>
        <v>125.42</v>
      </c>
      <c r="D2578" s="1">
        <f>IFERROR(__xludf.DUMMYFUNCTION("""COMPUTED_VALUE"""),115.4)</f>
        <v>115.4</v>
      </c>
      <c r="E2578" s="1">
        <f>IFERROR(__xludf.DUMMYFUNCTION("""COMPUTED_VALUE"""),124.04)</f>
        <v>124.04</v>
      </c>
      <c r="F2578" s="1">
        <f>IFERROR(__xludf.DUMMYFUNCTION("""COMPUTED_VALUE"""),162351.0)</f>
        <v>162351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IFERROR(__xludf.DUMMYFUNCTION("""COMPUTED_VALUE"""),123.0)</f>
        <v>123</v>
      </c>
      <c r="C2579" s="1">
        <f>IFERROR(__xludf.DUMMYFUNCTION("""COMPUTED_VALUE"""),123.52)</f>
        <v>123.52</v>
      </c>
      <c r="D2579" s="1">
        <f>IFERROR(__xludf.DUMMYFUNCTION("""COMPUTED_VALUE"""),117.54)</f>
        <v>117.54</v>
      </c>
      <c r="E2579" s="1">
        <f>IFERROR(__xludf.DUMMYFUNCTION("""COMPUTED_VALUE"""),121.0)</f>
        <v>121</v>
      </c>
      <c r="F2579" s="1">
        <f>IFERROR(__xludf.DUMMYFUNCTION("""COMPUTED_VALUE"""),193093.0)</f>
        <v>193093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IFERROR(__xludf.DUMMYFUNCTION("""COMPUTED_VALUE"""),115.54)</f>
        <v>115.54</v>
      </c>
      <c r="C2580" s="1">
        <f>IFERROR(__xludf.DUMMYFUNCTION("""COMPUTED_VALUE"""),117.52)</f>
        <v>117.52</v>
      </c>
      <c r="D2580" s="1">
        <f>IFERROR(__xludf.DUMMYFUNCTION("""COMPUTED_VALUE"""),110.73)</f>
        <v>110.73</v>
      </c>
      <c r="E2580" s="1">
        <f>IFERROR(__xludf.DUMMYFUNCTION("""COMPUTED_VALUE"""),112.46)</f>
        <v>112.46</v>
      </c>
      <c r="F2580" s="1">
        <f>IFERROR(__xludf.DUMMYFUNCTION("""COMPUTED_VALUE"""),141279.0)</f>
        <v>141279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IFERROR(__xludf.DUMMYFUNCTION("""COMPUTED_VALUE"""),111.54)</f>
        <v>111.54</v>
      </c>
      <c r="C2581" s="1">
        <f>IFERROR(__xludf.DUMMYFUNCTION("""COMPUTED_VALUE"""),119.56)</f>
        <v>119.56</v>
      </c>
      <c r="D2581" s="1">
        <f>IFERROR(__xludf.DUMMYFUNCTION("""COMPUTED_VALUE"""),111.54)</f>
        <v>111.54</v>
      </c>
      <c r="E2581" s="1">
        <f>IFERROR(__xludf.DUMMYFUNCTION("""COMPUTED_VALUE"""),113.73)</f>
        <v>113.73</v>
      </c>
      <c r="F2581" s="1">
        <f>IFERROR(__xludf.DUMMYFUNCTION("""COMPUTED_VALUE"""),135468.0)</f>
        <v>135468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IFERROR(__xludf.DUMMYFUNCTION("""COMPUTED_VALUE"""),111.69)</f>
        <v>111.69</v>
      </c>
      <c r="C2582" s="1">
        <f>IFERROR(__xludf.DUMMYFUNCTION("""COMPUTED_VALUE"""),115.0)</f>
        <v>115</v>
      </c>
      <c r="D2582" s="1">
        <f>IFERROR(__xludf.DUMMYFUNCTION("""COMPUTED_VALUE"""),108.57)</f>
        <v>108.57</v>
      </c>
      <c r="E2582" s="1">
        <f>IFERROR(__xludf.DUMMYFUNCTION("""COMPUTED_VALUE"""),113.26)</f>
        <v>113.26</v>
      </c>
      <c r="F2582" s="1">
        <f>IFERROR(__xludf.DUMMYFUNCTION("""COMPUTED_VALUE"""),160319.0)</f>
        <v>160319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IFERROR(__xludf.DUMMYFUNCTION("""COMPUTED_VALUE"""),116.61)</f>
        <v>116.61</v>
      </c>
      <c r="C2583" s="1">
        <f>IFERROR(__xludf.DUMMYFUNCTION("""COMPUTED_VALUE"""),122.05)</f>
        <v>122.05</v>
      </c>
      <c r="D2583" s="1">
        <f>IFERROR(__xludf.DUMMYFUNCTION("""COMPUTED_VALUE"""),115.47)</f>
        <v>115.47</v>
      </c>
      <c r="E2583" s="1">
        <f>IFERROR(__xludf.DUMMYFUNCTION("""COMPUTED_VALUE"""),120.59)</f>
        <v>120.59</v>
      </c>
      <c r="F2583" s="1">
        <f>IFERROR(__xludf.DUMMYFUNCTION("""COMPUTED_VALUE"""),227969.0)</f>
        <v>227969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IFERROR(__xludf.DUMMYFUNCTION("""COMPUTED_VALUE"""),123.18)</f>
        <v>123.18</v>
      </c>
      <c r="C2584" s="1">
        <f>IFERROR(__xludf.DUMMYFUNCTION("""COMPUTED_VALUE"""),125.29)</f>
        <v>125.29</v>
      </c>
      <c r="D2584" s="1">
        <f>IFERROR(__xludf.DUMMYFUNCTION("""COMPUTED_VALUE"""),116.09)</f>
        <v>116.09</v>
      </c>
      <c r="E2584" s="1">
        <f>IFERROR(__xludf.DUMMYFUNCTION("""COMPUTED_VALUE"""),118.33)</f>
        <v>118.33</v>
      </c>
      <c r="F2584" s="1">
        <f>IFERROR(__xludf.DUMMYFUNCTION("""COMPUTED_VALUE"""),129110.0)</f>
        <v>129110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IFERROR(__xludf.DUMMYFUNCTION("""COMPUTED_VALUE"""),120.85)</f>
        <v>120.85</v>
      </c>
      <c r="C2585" s="1">
        <f>IFERROR(__xludf.DUMMYFUNCTION("""COMPUTED_VALUE"""),121.46)</f>
        <v>121.46</v>
      </c>
      <c r="D2585" s="1">
        <f>IFERROR(__xludf.DUMMYFUNCTION("""COMPUTED_VALUE"""),118.58)</f>
        <v>118.58</v>
      </c>
      <c r="E2585" s="1">
        <f>IFERROR(__xludf.DUMMYFUNCTION("""COMPUTED_VALUE"""),120.59)</f>
        <v>120.59</v>
      </c>
      <c r="F2585" s="1">
        <f>IFERROR(__xludf.DUMMYFUNCTION("""COMPUTED_VALUE"""),229436.0)</f>
        <v>229436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IFERROR(__xludf.DUMMYFUNCTION("""COMPUTED_VALUE"""),124.58)</f>
        <v>124.58</v>
      </c>
      <c r="C2586" s="1">
        <f>IFERROR(__xludf.DUMMYFUNCTION("""COMPUTED_VALUE"""),129.28)</f>
        <v>129.28</v>
      </c>
      <c r="D2586" s="1">
        <f>IFERROR(__xludf.DUMMYFUNCTION("""COMPUTED_VALUE"""),122.78)</f>
        <v>122.78</v>
      </c>
      <c r="E2586" s="1">
        <f>IFERROR(__xludf.DUMMYFUNCTION("""COMPUTED_VALUE"""),127.72)</f>
        <v>127.72</v>
      </c>
      <c r="F2586" s="1">
        <f>IFERROR(__xludf.DUMMYFUNCTION("""COMPUTED_VALUE"""),234248.0)</f>
        <v>234248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IFERROR(__xludf.DUMMYFUNCTION("""COMPUTED_VALUE"""),127.34)</f>
        <v>127.34</v>
      </c>
      <c r="C2587" s="1">
        <f>IFERROR(__xludf.DUMMYFUNCTION("""COMPUTED_VALUE"""),129.96)</f>
        <v>129.96</v>
      </c>
      <c r="D2587" s="1">
        <f>IFERROR(__xludf.DUMMYFUNCTION("""COMPUTED_VALUE"""),119.46)</f>
        <v>119.46</v>
      </c>
      <c r="E2587" s="1">
        <f>IFERROR(__xludf.DUMMYFUNCTION("""COMPUTED_VALUE"""),121.93)</f>
        <v>121.93</v>
      </c>
      <c r="F2587" s="1">
        <f>IFERROR(__xludf.DUMMYFUNCTION("""COMPUTED_VALUE"""),114514.0)</f>
        <v>114514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IFERROR(__xludf.DUMMYFUNCTION("""COMPUTED_VALUE"""),125.24)</f>
        <v>125.24</v>
      </c>
      <c r="C2588" s="1">
        <f>IFERROR(__xludf.DUMMYFUNCTION("""COMPUTED_VALUE"""),131.88)</f>
        <v>131.88</v>
      </c>
      <c r="D2588" s="1">
        <f>IFERROR(__xludf.DUMMYFUNCTION("""COMPUTED_VALUE"""),124.77)</f>
        <v>124.77</v>
      </c>
      <c r="E2588" s="1">
        <f>IFERROR(__xludf.DUMMYFUNCTION("""COMPUTED_VALUE"""),130.39)</f>
        <v>130.39</v>
      </c>
      <c r="F2588" s="1">
        <f>IFERROR(__xludf.DUMMYFUNCTION("""COMPUTED_VALUE"""),222184.0)</f>
        <v>222184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IFERROR(__xludf.DUMMYFUNCTION("""COMPUTED_VALUE"""),126.66)</f>
        <v>126.66</v>
      </c>
      <c r="C2589" s="1">
        <f>IFERROR(__xludf.DUMMYFUNCTION("""COMPUTED_VALUE"""),127.26)</f>
        <v>127.26</v>
      </c>
      <c r="D2589" s="1">
        <f>IFERROR(__xludf.DUMMYFUNCTION("""COMPUTED_VALUE"""),120.69)</f>
        <v>120.69</v>
      </c>
      <c r="E2589" s="1">
        <f>IFERROR(__xludf.DUMMYFUNCTION("""COMPUTED_VALUE"""),122.08)</f>
        <v>122.08</v>
      </c>
      <c r="F2589" s="1">
        <f>IFERROR(__xludf.DUMMYFUNCTION("""COMPUTED_VALUE"""),148611.0)</f>
        <v>148611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IFERROR(__xludf.DUMMYFUNCTION("""COMPUTED_VALUE"""),122.34)</f>
        <v>122.34</v>
      </c>
      <c r="C2590" s="1">
        <f>IFERROR(__xludf.DUMMYFUNCTION("""COMPUTED_VALUE"""),125.4)</f>
        <v>125.4</v>
      </c>
      <c r="D2590" s="1">
        <f>IFERROR(__xludf.DUMMYFUNCTION("""COMPUTED_VALUE"""),121.12)</f>
        <v>121.12</v>
      </c>
      <c r="E2590" s="1">
        <f>IFERROR(__xludf.DUMMYFUNCTION("""COMPUTED_VALUE"""),124.62)</f>
        <v>124.62</v>
      </c>
      <c r="F2590" s="1">
        <f>IFERROR(__xludf.DUMMYFUNCTION("""COMPUTED_VALUE"""),121272.0)</f>
        <v>121272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IFERROR(__xludf.DUMMYFUNCTION("""COMPUTED_VALUE"""),129.78)</f>
        <v>129.78</v>
      </c>
      <c r="C2591" s="1">
        <f>IFERROR(__xludf.DUMMYFUNCTION("""COMPUTED_VALUE"""),129.96)</f>
        <v>129.96</v>
      </c>
      <c r="D2591" s="1">
        <f>IFERROR(__xludf.DUMMYFUNCTION("""COMPUTED_VALUE"""),126.55)</f>
        <v>126.55</v>
      </c>
      <c r="E2591" s="1">
        <f>IFERROR(__xludf.DUMMYFUNCTION("""COMPUTED_VALUE"""),127.73)</f>
        <v>127.73</v>
      </c>
      <c r="F2591" s="1">
        <f>IFERROR(__xludf.DUMMYFUNCTION("""COMPUTED_VALUE"""),91044.0)</f>
        <v>91044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IFERROR(__xludf.DUMMYFUNCTION("""COMPUTED_VALUE"""),126.52)</f>
        <v>126.52</v>
      </c>
      <c r="C2592" s="1">
        <f>IFERROR(__xludf.DUMMYFUNCTION("""COMPUTED_VALUE"""),127.22)</f>
        <v>127.22</v>
      </c>
      <c r="D2592" s="1">
        <f>IFERROR(__xludf.DUMMYFUNCTION("""COMPUTED_VALUE"""),123.01)</f>
        <v>123.01</v>
      </c>
      <c r="E2592" s="1">
        <f>IFERROR(__xludf.DUMMYFUNCTION("""COMPUTED_VALUE"""),125.33)</f>
        <v>125.33</v>
      </c>
      <c r="F2592" s="1">
        <f>IFERROR(__xludf.DUMMYFUNCTION("""COMPUTED_VALUE"""),115295.0)</f>
        <v>115295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IFERROR(__xludf.DUMMYFUNCTION("""COMPUTED_VALUE"""),121.58)</f>
        <v>121.58</v>
      </c>
      <c r="C2593" s="1">
        <f>IFERROR(__xludf.DUMMYFUNCTION("""COMPUTED_VALUE"""),124.78)</f>
        <v>124.78</v>
      </c>
      <c r="D2593" s="1">
        <f>IFERROR(__xludf.DUMMYFUNCTION("""COMPUTED_VALUE"""),119.18)</f>
        <v>119.18</v>
      </c>
      <c r="E2593" s="1">
        <f>IFERROR(__xludf.DUMMYFUNCTION("""COMPUTED_VALUE"""),121.45)</f>
        <v>121.45</v>
      </c>
      <c r="F2593" s="1">
        <f>IFERROR(__xludf.DUMMYFUNCTION("""COMPUTED_VALUE"""),163776.0)</f>
        <v>163776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IFERROR(__xludf.DUMMYFUNCTION("""COMPUTED_VALUE"""),122.31)</f>
        <v>122.31</v>
      </c>
      <c r="C2594" s="1">
        <f>IFERROR(__xludf.DUMMYFUNCTION("""COMPUTED_VALUE"""),126.15)</f>
        <v>126.15</v>
      </c>
      <c r="D2594" s="1">
        <f>IFERROR(__xludf.DUMMYFUNCTION("""COMPUTED_VALUE"""),119.18)</f>
        <v>119.18</v>
      </c>
      <c r="E2594" s="1">
        <f>IFERROR(__xludf.DUMMYFUNCTION("""COMPUTED_VALUE"""),119.9)</f>
        <v>119.9</v>
      </c>
      <c r="F2594" s="1">
        <f>IFERROR(__xludf.DUMMYFUNCTION("""COMPUTED_VALUE"""),127887.0)</f>
        <v>127887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IFERROR(__xludf.DUMMYFUNCTION("""COMPUTED_VALUE"""),120.14)</f>
        <v>120.14</v>
      </c>
      <c r="C2595" s="1">
        <f>IFERROR(__xludf.DUMMYFUNCTION("""COMPUTED_VALUE"""),121.59)</f>
        <v>121.59</v>
      </c>
      <c r="D2595" s="1">
        <f>IFERROR(__xludf.DUMMYFUNCTION("""COMPUTED_VALUE"""),117.33)</f>
        <v>117.33</v>
      </c>
      <c r="E2595" s="1">
        <f>IFERROR(__xludf.DUMMYFUNCTION("""COMPUTED_VALUE"""),118.09)</f>
        <v>118.09</v>
      </c>
      <c r="F2595" s="1">
        <f>IFERROR(__xludf.DUMMYFUNCTION("""COMPUTED_VALUE"""),101574.0)</f>
        <v>101574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IFERROR(__xludf.DUMMYFUNCTION("""COMPUTED_VALUE"""),118.89)</f>
        <v>118.89</v>
      </c>
      <c r="C2596" s="1">
        <f>IFERROR(__xludf.DUMMYFUNCTION("""COMPUTED_VALUE"""),119.76)</f>
        <v>119.76</v>
      </c>
      <c r="D2596" s="1">
        <f>IFERROR(__xludf.DUMMYFUNCTION("""COMPUTED_VALUE"""),117.61)</f>
        <v>117.61</v>
      </c>
      <c r="E2596" s="1">
        <f>IFERROR(__xludf.DUMMYFUNCTION("""COMPUTED_VALUE"""),117.73)</f>
        <v>117.73</v>
      </c>
      <c r="F2596" s="1">
        <f>IFERROR(__xludf.DUMMYFUNCTION("""COMPUTED_VALUE"""),86314.0)</f>
        <v>86314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IFERROR(__xludf.DUMMYFUNCTION("""COMPUTED_VALUE"""),116.73)</f>
        <v>116.73</v>
      </c>
      <c r="C2597" s="1">
        <f>IFERROR(__xludf.DUMMYFUNCTION("""COMPUTED_VALUE"""),125.89)</f>
        <v>125.89</v>
      </c>
      <c r="D2597" s="1">
        <f>IFERROR(__xludf.DUMMYFUNCTION("""COMPUTED_VALUE"""),116.73)</f>
        <v>116.73</v>
      </c>
      <c r="E2597" s="1">
        <f>IFERROR(__xludf.DUMMYFUNCTION("""COMPUTED_VALUE"""),124.45)</f>
        <v>124.45</v>
      </c>
      <c r="F2597" s="1">
        <f>IFERROR(__xludf.DUMMYFUNCTION("""COMPUTED_VALUE"""),207306.0)</f>
        <v>207306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IFERROR(__xludf.DUMMYFUNCTION("""COMPUTED_VALUE"""),109.99)</f>
        <v>109.99</v>
      </c>
      <c r="C2598" s="1">
        <f>IFERROR(__xludf.DUMMYFUNCTION("""COMPUTED_VALUE"""),127.89)</f>
        <v>127.89</v>
      </c>
      <c r="D2598" s="1">
        <f>IFERROR(__xludf.DUMMYFUNCTION("""COMPUTED_VALUE"""),109.65)</f>
        <v>109.65</v>
      </c>
      <c r="E2598" s="1">
        <f>IFERROR(__xludf.DUMMYFUNCTION("""COMPUTED_VALUE"""),126.37)</f>
        <v>126.37</v>
      </c>
      <c r="F2598" s="1">
        <f>IFERROR(__xludf.DUMMYFUNCTION("""COMPUTED_VALUE"""),423146.0)</f>
        <v>423146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IFERROR(__xludf.DUMMYFUNCTION("""COMPUTED_VALUE"""),129.2)</f>
        <v>129.2</v>
      </c>
      <c r="C2599" s="1">
        <f>IFERROR(__xludf.DUMMYFUNCTION("""COMPUTED_VALUE"""),140.43)</f>
        <v>140.43</v>
      </c>
      <c r="D2599" s="1">
        <f>IFERROR(__xludf.DUMMYFUNCTION("""COMPUTED_VALUE"""),128.06)</f>
        <v>128.06</v>
      </c>
      <c r="E2599" s="1">
        <f>IFERROR(__xludf.DUMMYFUNCTION("""COMPUTED_VALUE"""),137.08)</f>
        <v>137.08</v>
      </c>
      <c r="F2599" s="1">
        <f>IFERROR(__xludf.DUMMYFUNCTION("""COMPUTED_VALUE"""),233749.0)</f>
        <v>233749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IFERROR(__xludf.DUMMYFUNCTION("""COMPUTED_VALUE"""),135.5)</f>
        <v>135.5</v>
      </c>
      <c r="C2600" s="1">
        <f>IFERROR(__xludf.DUMMYFUNCTION("""COMPUTED_VALUE"""),135.5)</f>
        <v>135.5</v>
      </c>
      <c r="D2600" s="1">
        <f>IFERROR(__xludf.DUMMYFUNCTION("""COMPUTED_VALUE"""),124.14)</f>
        <v>124.14</v>
      </c>
      <c r="E2600" s="1">
        <f>IFERROR(__xludf.DUMMYFUNCTION("""COMPUTED_VALUE"""),127.03)</f>
        <v>127.03</v>
      </c>
      <c r="F2600" s="1">
        <f>IFERROR(__xludf.DUMMYFUNCTION("""COMPUTED_VALUE"""),176570.0)</f>
        <v>176570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IFERROR(__xludf.DUMMYFUNCTION("""COMPUTED_VALUE"""),125.23)</f>
        <v>125.23</v>
      </c>
      <c r="C2601" s="1">
        <f>IFERROR(__xludf.DUMMYFUNCTION("""COMPUTED_VALUE"""),125.23)</f>
        <v>125.23</v>
      </c>
      <c r="D2601" s="1">
        <f>IFERROR(__xludf.DUMMYFUNCTION("""COMPUTED_VALUE"""),120.19)</f>
        <v>120.19</v>
      </c>
      <c r="E2601" s="1">
        <f>IFERROR(__xludf.DUMMYFUNCTION("""COMPUTED_VALUE"""),123.41)</f>
        <v>123.41</v>
      </c>
      <c r="F2601" s="1">
        <f>IFERROR(__xludf.DUMMYFUNCTION("""COMPUTED_VALUE"""),158306.0)</f>
        <v>158306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IFERROR(__xludf.DUMMYFUNCTION("""COMPUTED_VALUE"""),121.46)</f>
        <v>121.46</v>
      </c>
      <c r="C2602" s="1">
        <f>IFERROR(__xludf.DUMMYFUNCTION("""COMPUTED_VALUE"""),122.54)</f>
        <v>122.54</v>
      </c>
      <c r="D2602" s="1">
        <f>IFERROR(__xludf.DUMMYFUNCTION("""COMPUTED_VALUE"""),120.28)</f>
        <v>120.28</v>
      </c>
      <c r="E2602" s="1">
        <f>IFERROR(__xludf.DUMMYFUNCTION("""COMPUTED_VALUE"""),121.44)</f>
        <v>121.44</v>
      </c>
      <c r="F2602" s="1">
        <f>IFERROR(__xludf.DUMMYFUNCTION("""COMPUTED_VALUE"""),210200.0)</f>
        <v>210200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IFERROR(__xludf.DUMMYFUNCTION("""COMPUTED_VALUE"""),122.86)</f>
        <v>122.86</v>
      </c>
      <c r="C2603" s="1">
        <f>IFERROR(__xludf.DUMMYFUNCTION("""COMPUTED_VALUE"""),125.76)</f>
        <v>125.76</v>
      </c>
      <c r="D2603" s="1">
        <f>IFERROR(__xludf.DUMMYFUNCTION("""COMPUTED_VALUE"""),122.51)</f>
        <v>122.51</v>
      </c>
      <c r="E2603" s="1">
        <f>IFERROR(__xludf.DUMMYFUNCTION("""COMPUTED_VALUE"""),124.1)</f>
        <v>124.1</v>
      </c>
      <c r="F2603" s="1">
        <f>IFERROR(__xludf.DUMMYFUNCTION("""COMPUTED_VALUE"""),161381.0)</f>
        <v>161381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IFERROR(__xludf.DUMMYFUNCTION("""COMPUTED_VALUE"""),124.9)</f>
        <v>124.9</v>
      </c>
      <c r="C2604" s="1">
        <f>IFERROR(__xludf.DUMMYFUNCTION("""COMPUTED_VALUE"""),124.9)</f>
        <v>124.9</v>
      </c>
      <c r="D2604" s="1">
        <f>IFERROR(__xludf.DUMMYFUNCTION("""COMPUTED_VALUE"""),117.52)</f>
        <v>117.52</v>
      </c>
      <c r="E2604" s="1">
        <f>IFERROR(__xludf.DUMMYFUNCTION("""COMPUTED_VALUE"""),118.05)</f>
        <v>118.05</v>
      </c>
      <c r="F2604" s="1">
        <f>IFERROR(__xludf.DUMMYFUNCTION("""COMPUTED_VALUE"""),136965.0)</f>
        <v>136965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IFERROR(__xludf.DUMMYFUNCTION("""COMPUTED_VALUE"""),119.1)</f>
        <v>119.1</v>
      </c>
      <c r="C2605" s="1">
        <f>IFERROR(__xludf.DUMMYFUNCTION("""COMPUTED_VALUE"""),120.96)</f>
        <v>120.96</v>
      </c>
      <c r="D2605" s="1">
        <f>IFERROR(__xludf.DUMMYFUNCTION("""COMPUTED_VALUE"""),118.4)</f>
        <v>118.4</v>
      </c>
      <c r="E2605" s="1">
        <f>IFERROR(__xludf.DUMMYFUNCTION("""COMPUTED_VALUE"""),119.35)</f>
        <v>119.35</v>
      </c>
      <c r="F2605" s="1">
        <f>IFERROR(__xludf.DUMMYFUNCTION("""COMPUTED_VALUE"""),108860.0)</f>
        <v>108860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IFERROR(__xludf.DUMMYFUNCTION("""COMPUTED_VALUE"""),121.27)</f>
        <v>121.27</v>
      </c>
      <c r="C2606" s="1">
        <f>IFERROR(__xludf.DUMMYFUNCTION("""COMPUTED_VALUE"""),128.32)</f>
        <v>128.32</v>
      </c>
      <c r="D2606" s="1">
        <f>IFERROR(__xludf.DUMMYFUNCTION("""COMPUTED_VALUE"""),121.27)</f>
        <v>121.27</v>
      </c>
      <c r="E2606" s="1">
        <f>IFERROR(__xludf.DUMMYFUNCTION("""COMPUTED_VALUE"""),128.32)</f>
        <v>128.32</v>
      </c>
      <c r="F2606" s="1">
        <f>IFERROR(__xludf.DUMMYFUNCTION("""COMPUTED_VALUE"""),201913.0)</f>
        <v>201913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IFERROR(__xludf.DUMMYFUNCTION("""COMPUTED_VALUE"""),126.44)</f>
        <v>126.44</v>
      </c>
      <c r="C2607" s="1">
        <f>IFERROR(__xludf.DUMMYFUNCTION("""COMPUTED_VALUE"""),126.44)</f>
        <v>126.44</v>
      </c>
      <c r="D2607" s="1">
        <f>IFERROR(__xludf.DUMMYFUNCTION("""COMPUTED_VALUE"""),121.38)</f>
        <v>121.38</v>
      </c>
      <c r="E2607" s="1">
        <f>IFERROR(__xludf.DUMMYFUNCTION("""COMPUTED_VALUE"""),121.55)</f>
        <v>121.55</v>
      </c>
      <c r="F2607" s="1">
        <f>IFERROR(__xludf.DUMMYFUNCTION("""COMPUTED_VALUE"""),157038.0)</f>
        <v>157038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IFERROR(__xludf.DUMMYFUNCTION("""COMPUTED_VALUE"""),125.28)</f>
        <v>125.28</v>
      </c>
      <c r="C2608" s="1">
        <f>IFERROR(__xludf.DUMMYFUNCTION("""COMPUTED_VALUE"""),130.31)</f>
        <v>130.31</v>
      </c>
      <c r="D2608" s="1">
        <f>IFERROR(__xludf.DUMMYFUNCTION("""COMPUTED_VALUE"""),122.5)</f>
        <v>122.5</v>
      </c>
      <c r="E2608" s="1">
        <f>IFERROR(__xludf.DUMMYFUNCTION("""COMPUTED_VALUE"""),127.23)</f>
        <v>127.23</v>
      </c>
      <c r="F2608" s="1">
        <f>IFERROR(__xludf.DUMMYFUNCTION("""COMPUTED_VALUE"""),134832.0)</f>
        <v>134832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IFERROR(__xludf.DUMMYFUNCTION("""COMPUTED_VALUE"""),125.73)</f>
        <v>125.73</v>
      </c>
      <c r="C2609" s="1">
        <f>IFERROR(__xludf.DUMMYFUNCTION("""COMPUTED_VALUE"""),127.44)</f>
        <v>127.44</v>
      </c>
      <c r="D2609" s="1">
        <f>IFERROR(__xludf.DUMMYFUNCTION("""COMPUTED_VALUE"""),124.11)</f>
        <v>124.11</v>
      </c>
      <c r="E2609" s="1">
        <f>IFERROR(__xludf.DUMMYFUNCTION("""COMPUTED_VALUE"""),126.58)</f>
        <v>126.58</v>
      </c>
      <c r="F2609" s="1">
        <f>IFERROR(__xludf.DUMMYFUNCTION("""COMPUTED_VALUE"""),169657.0)</f>
        <v>169657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IFERROR(__xludf.DUMMYFUNCTION("""COMPUTED_VALUE"""),124.92)</f>
        <v>124.92</v>
      </c>
      <c r="C2610" s="1">
        <f>IFERROR(__xludf.DUMMYFUNCTION("""COMPUTED_VALUE"""),126.08)</f>
        <v>126.08</v>
      </c>
      <c r="D2610" s="1">
        <f>IFERROR(__xludf.DUMMYFUNCTION("""COMPUTED_VALUE"""),121.29)</f>
        <v>121.29</v>
      </c>
      <c r="E2610" s="1">
        <f>IFERROR(__xludf.DUMMYFUNCTION("""COMPUTED_VALUE"""),122.48)</f>
        <v>122.48</v>
      </c>
      <c r="F2610" s="1">
        <f>IFERROR(__xludf.DUMMYFUNCTION("""COMPUTED_VALUE"""),142763.0)</f>
        <v>142763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IFERROR(__xludf.DUMMYFUNCTION("""COMPUTED_VALUE"""),121.57)</f>
        <v>121.57</v>
      </c>
      <c r="C2611" s="1">
        <f>IFERROR(__xludf.DUMMYFUNCTION("""COMPUTED_VALUE"""),124.0)</f>
        <v>124</v>
      </c>
      <c r="D2611" s="1">
        <f>IFERROR(__xludf.DUMMYFUNCTION("""COMPUTED_VALUE"""),120.02)</f>
        <v>120.02</v>
      </c>
      <c r="E2611" s="1">
        <f>IFERROR(__xludf.DUMMYFUNCTION("""COMPUTED_VALUE"""),120.96)</f>
        <v>120.96</v>
      </c>
      <c r="F2611" s="1">
        <f>IFERROR(__xludf.DUMMYFUNCTION("""COMPUTED_VALUE"""),166115.0)</f>
        <v>166115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IFERROR(__xludf.DUMMYFUNCTION("""COMPUTED_VALUE"""),125.0)</f>
        <v>125</v>
      </c>
      <c r="C2612" s="1">
        <f>IFERROR(__xludf.DUMMYFUNCTION("""COMPUTED_VALUE"""),128.41)</f>
        <v>128.41</v>
      </c>
      <c r="D2612" s="1">
        <f>IFERROR(__xludf.DUMMYFUNCTION("""COMPUTED_VALUE"""),124.8)</f>
        <v>124.8</v>
      </c>
      <c r="E2612" s="1">
        <f>IFERROR(__xludf.DUMMYFUNCTION("""COMPUTED_VALUE"""),126.82)</f>
        <v>126.82</v>
      </c>
      <c r="F2612" s="1">
        <f>IFERROR(__xludf.DUMMYFUNCTION("""COMPUTED_VALUE"""),84120.0)</f>
        <v>84120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IFERROR(__xludf.DUMMYFUNCTION("""COMPUTED_VALUE"""),127.15)</f>
        <v>127.15</v>
      </c>
      <c r="C2613" s="1">
        <f>IFERROR(__xludf.DUMMYFUNCTION("""COMPUTED_VALUE"""),127.96)</f>
        <v>127.96</v>
      </c>
      <c r="D2613" s="1">
        <f>IFERROR(__xludf.DUMMYFUNCTION("""COMPUTED_VALUE"""),123.03)</f>
        <v>123.03</v>
      </c>
      <c r="E2613" s="1">
        <f>IFERROR(__xludf.DUMMYFUNCTION("""COMPUTED_VALUE"""),123.04)</f>
        <v>123.04</v>
      </c>
      <c r="F2613" s="1">
        <f>IFERROR(__xludf.DUMMYFUNCTION("""COMPUTED_VALUE"""),83719.0)</f>
        <v>83719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IFERROR(__xludf.DUMMYFUNCTION("""COMPUTED_VALUE"""),125.29)</f>
        <v>125.29</v>
      </c>
      <c r="C2614" s="1">
        <f>IFERROR(__xludf.DUMMYFUNCTION("""COMPUTED_VALUE"""),127.5)</f>
        <v>127.5</v>
      </c>
      <c r="D2614" s="1">
        <f>IFERROR(__xludf.DUMMYFUNCTION("""COMPUTED_VALUE"""),123.78)</f>
        <v>123.78</v>
      </c>
      <c r="E2614" s="1">
        <f>IFERROR(__xludf.DUMMYFUNCTION("""COMPUTED_VALUE"""),125.83)</f>
        <v>125.83</v>
      </c>
      <c r="F2614" s="1">
        <f>IFERROR(__xludf.DUMMYFUNCTION("""COMPUTED_VALUE"""),107685.0)</f>
        <v>107685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IFERROR(__xludf.DUMMYFUNCTION("""COMPUTED_VALUE"""),125.78)</f>
        <v>125.78</v>
      </c>
      <c r="C2615" s="1">
        <f>IFERROR(__xludf.DUMMYFUNCTION("""COMPUTED_VALUE"""),125.83)</f>
        <v>125.83</v>
      </c>
      <c r="D2615" s="1">
        <f>IFERROR(__xludf.DUMMYFUNCTION("""COMPUTED_VALUE"""),122.71)</f>
        <v>122.71</v>
      </c>
      <c r="E2615" s="1">
        <f>IFERROR(__xludf.DUMMYFUNCTION("""COMPUTED_VALUE"""),122.8)</f>
        <v>122.8</v>
      </c>
      <c r="F2615" s="1">
        <f>IFERROR(__xludf.DUMMYFUNCTION("""COMPUTED_VALUE"""),116141.0)</f>
        <v>116141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IFERROR(__xludf.DUMMYFUNCTION("""COMPUTED_VALUE"""),122.93)</f>
        <v>122.93</v>
      </c>
      <c r="C2616" s="1">
        <f>IFERROR(__xludf.DUMMYFUNCTION("""COMPUTED_VALUE"""),124.56)</f>
        <v>124.56</v>
      </c>
      <c r="D2616" s="1">
        <f>IFERROR(__xludf.DUMMYFUNCTION("""COMPUTED_VALUE"""),121.71)</f>
        <v>121.71</v>
      </c>
      <c r="E2616" s="1">
        <f>IFERROR(__xludf.DUMMYFUNCTION("""COMPUTED_VALUE"""),124.47)</f>
        <v>124.47</v>
      </c>
      <c r="F2616" s="1">
        <f>IFERROR(__xludf.DUMMYFUNCTION("""COMPUTED_VALUE"""),52276.0)</f>
        <v>52276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IFERROR(__xludf.DUMMYFUNCTION("""COMPUTED_VALUE"""),128.66)</f>
        <v>128.66</v>
      </c>
      <c r="C2617" s="1">
        <f>IFERROR(__xludf.DUMMYFUNCTION("""COMPUTED_VALUE"""),130.34)</f>
        <v>130.34</v>
      </c>
      <c r="D2617" s="1">
        <f>IFERROR(__xludf.DUMMYFUNCTION("""COMPUTED_VALUE"""),127.42)</f>
        <v>127.42</v>
      </c>
      <c r="E2617" s="1">
        <f>IFERROR(__xludf.DUMMYFUNCTION("""COMPUTED_VALUE"""),129.26)</f>
        <v>129.26</v>
      </c>
      <c r="F2617" s="1">
        <f>IFERROR(__xludf.DUMMYFUNCTION("""COMPUTED_VALUE"""),119308.0)</f>
        <v>119308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IFERROR(__xludf.DUMMYFUNCTION("""COMPUTED_VALUE"""),132.39)</f>
        <v>132.39</v>
      </c>
      <c r="C2618" s="1">
        <f>IFERROR(__xludf.DUMMYFUNCTION("""COMPUTED_VALUE"""),138.2)</f>
        <v>138.2</v>
      </c>
      <c r="D2618" s="1">
        <f>IFERROR(__xludf.DUMMYFUNCTION("""COMPUTED_VALUE"""),131.41)</f>
        <v>131.41</v>
      </c>
      <c r="E2618" s="1">
        <f>IFERROR(__xludf.DUMMYFUNCTION("""COMPUTED_VALUE"""),137.71)</f>
        <v>137.71</v>
      </c>
      <c r="F2618" s="1">
        <f>IFERROR(__xludf.DUMMYFUNCTION("""COMPUTED_VALUE"""),152871.0)</f>
        <v>152871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IFERROR(__xludf.DUMMYFUNCTION("""COMPUTED_VALUE"""),139.17)</f>
        <v>139.17</v>
      </c>
      <c r="C2619" s="1">
        <f>IFERROR(__xludf.DUMMYFUNCTION("""COMPUTED_VALUE"""),139.17)</f>
        <v>139.17</v>
      </c>
      <c r="D2619" s="1">
        <f>IFERROR(__xludf.DUMMYFUNCTION("""COMPUTED_VALUE"""),129.47)</f>
        <v>129.47</v>
      </c>
      <c r="E2619" s="1">
        <f>IFERROR(__xludf.DUMMYFUNCTION("""COMPUTED_VALUE"""),129.85)</f>
        <v>129.85</v>
      </c>
      <c r="F2619" s="1">
        <f>IFERROR(__xludf.DUMMYFUNCTION("""COMPUTED_VALUE"""),135655.0)</f>
        <v>135655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IFERROR(__xludf.DUMMYFUNCTION("""COMPUTED_VALUE"""),128.76)</f>
        <v>128.76</v>
      </c>
      <c r="C2620" s="1">
        <f>IFERROR(__xludf.DUMMYFUNCTION("""COMPUTED_VALUE"""),129.12)</f>
        <v>129.12</v>
      </c>
      <c r="D2620" s="1">
        <f>IFERROR(__xludf.DUMMYFUNCTION("""COMPUTED_VALUE"""),126.32)</f>
        <v>126.32</v>
      </c>
      <c r="E2620" s="1">
        <f>IFERROR(__xludf.DUMMYFUNCTION("""COMPUTED_VALUE"""),128.63)</f>
        <v>128.63</v>
      </c>
      <c r="F2620" s="1">
        <f>IFERROR(__xludf.DUMMYFUNCTION("""COMPUTED_VALUE"""),174137.0)</f>
        <v>174137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IFERROR(__xludf.DUMMYFUNCTION("""COMPUTED_VALUE"""),129.39)</f>
        <v>129.39</v>
      </c>
      <c r="C2621" s="1">
        <f>IFERROR(__xludf.DUMMYFUNCTION("""COMPUTED_VALUE"""),133.04)</f>
        <v>133.04</v>
      </c>
      <c r="D2621" s="1">
        <f>IFERROR(__xludf.DUMMYFUNCTION("""COMPUTED_VALUE"""),127.5)</f>
        <v>127.5</v>
      </c>
      <c r="E2621" s="1">
        <f>IFERROR(__xludf.DUMMYFUNCTION("""COMPUTED_VALUE"""),131.11)</f>
        <v>131.11</v>
      </c>
      <c r="F2621" s="1">
        <f>IFERROR(__xludf.DUMMYFUNCTION("""COMPUTED_VALUE"""),97171.0)</f>
        <v>97171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IFERROR(__xludf.DUMMYFUNCTION("""COMPUTED_VALUE"""),131.21)</f>
        <v>131.21</v>
      </c>
      <c r="C2622" s="1">
        <f>IFERROR(__xludf.DUMMYFUNCTION("""COMPUTED_VALUE"""),131.82)</f>
        <v>131.82</v>
      </c>
      <c r="D2622" s="1">
        <f>IFERROR(__xludf.DUMMYFUNCTION("""COMPUTED_VALUE"""),128.16)</f>
        <v>128.16</v>
      </c>
      <c r="E2622" s="1">
        <f>IFERROR(__xludf.DUMMYFUNCTION("""COMPUTED_VALUE"""),128.74)</f>
        <v>128.74</v>
      </c>
      <c r="F2622" s="1">
        <f>IFERROR(__xludf.DUMMYFUNCTION("""COMPUTED_VALUE"""),107001.0)</f>
        <v>107001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IFERROR(__xludf.DUMMYFUNCTION("""COMPUTED_VALUE"""),130.93)</f>
        <v>130.93</v>
      </c>
      <c r="C2623" s="1">
        <f>IFERROR(__xludf.DUMMYFUNCTION("""COMPUTED_VALUE"""),134.41)</f>
        <v>134.41</v>
      </c>
      <c r="D2623" s="1">
        <f>IFERROR(__xludf.DUMMYFUNCTION("""COMPUTED_VALUE"""),129.39)</f>
        <v>129.39</v>
      </c>
      <c r="E2623" s="1">
        <f>IFERROR(__xludf.DUMMYFUNCTION("""COMPUTED_VALUE"""),131.43)</f>
        <v>131.43</v>
      </c>
      <c r="F2623" s="1">
        <f>IFERROR(__xludf.DUMMYFUNCTION("""COMPUTED_VALUE"""),89377.0)</f>
        <v>89377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IFERROR(__xludf.DUMMYFUNCTION("""COMPUTED_VALUE"""),130.41)</f>
        <v>130.41</v>
      </c>
      <c r="C2624" s="1">
        <f>IFERROR(__xludf.DUMMYFUNCTION("""COMPUTED_VALUE"""),134.36)</f>
        <v>134.36</v>
      </c>
      <c r="D2624" s="1">
        <f>IFERROR(__xludf.DUMMYFUNCTION("""COMPUTED_VALUE"""),129.89)</f>
        <v>129.89</v>
      </c>
      <c r="E2624" s="1">
        <f>IFERROR(__xludf.DUMMYFUNCTION("""COMPUTED_VALUE"""),133.08)</f>
        <v>133.08</v>
      </c>
      <c r="F2624" s="1">
        <f>IFERROR(__xludf.DUMMYFUNCTION("""COMPUTED_VALUE"""),97342.0)</f>
        <v>97342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IFERROR(__xludf.DUMMYFUNCTION("""COMPUTED_VALUE"""),137.46)</f>
        <v>137.46</v>
      </c>
      <c r="C2625" s="1">
        <f>IFERROR(__xludf.DUMMYFUNCTION("""COMPUTED_VALUE"""),141.99)</f>
        <v>141.99</v>
      </c>
      <c r="D2625" s="1">
        <f>IFERROR(__xludf.DUMMYFUNCTION("""COMPUTED_VALUE"""),136.5)</f>
        <v>136.5</v>
      </c>
      <c r="E2625" s="1">
        <f>IFERROR(__xludf.DUMMYFUNCTION("""COMPUTED_VALUE"""),139.64)</f>
        <v>139.64</v>
      </c>
      <c r="F2625" s="1">
        <f>IFERROR(__xludf.DUMMYFUNCTION("""COMPUTED_VALUE"""),109331.0)</f>
        <v>109331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IFERROR(__xludf.DUMMYFUNCTION("""COMPUTED_VALUE"""),141.17)</f>
        <v>141.17</v>
      </c>
      <c r="C2626" s="1">
        <f>IFERROR(__xludf.DUMMYFUNCTION("""COMPUTED_VALUE"""),143.69)</f>
        <v>143.69</v>
      </c>
      <c r="D2626" s="1">
        <f>IFERROR(__xludf.DUMMYFUNCTION("""COMPUTED_VALUE"""),140.13)</f>
        <v>140.13</v>
      </c>
      <c r="E2626" s="1">
        <f>IFERROR(__xludf.DUMMYFUNCTION("""COMPUTED_VALUE"""),143.13)</f>
        <v>143.13</v>
      </c>
      <c r="F2626" s="1">
        <f>IFERROR(__xludf.DUMMYFUNCTION("""COMPUTED_VALUE"""),94262.0)</f>
        <v>94262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IFERROR(__xludf.DUMMYFUNCTION("""COMPUTED_VALUE"""),141.31)</f>
        <v>141.31</v>
      </c>
      <c r="C2627" s="1">
        <f>IFERROR(__xludf.DUMMYFUNCTION("""COMPUTED_VALUE"""),141.31)</f>
        <v>141.31</v>
      </c>
      <c r="D2627" s="1">
        <f>IFERROR(__xludf.DUMMYFUNCTION("""COMPUTED_VALUE"""),136.82)</f>
        <v>136.82</v>
      </c>
      <c r="E2627" s="1">
        <f>IFERROR(__xludf.DUMMYFUNCTION("""COMPUTED_VALUE"""),136.83)</f>
        <v>136.83</v>
      </c>
      <c r="F2627" s="1">
        <f>IFERROR(__xludf.DUMMYFUNCTION("""COMPUTED_VALUE"""),75127.0)</f>
        <v>75127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IFERROR(__xludf.DUMMYFUNCTION("""COMPUTED_VALUE"""),137.07)</f>
        <v>137.07</v>
      </c>
      <c r="C2628" s="1">
        <f>IFERROR(__xludf.DUMMYFUNCTION("""COMPUTED_VALUE"""),137.97)</f>
        <v>137.97</v>
      </c>
      <c r="D2628" s="1">
        <f>IFERROR(__xludf.DUMMYFUNCTION("""COMPUTED_VALUE"""),134.14)</f>
        <v>134.14</v>
      </c>
      <c r="E2628" s="1">
        <f>IFERROR(__xludf.DUMMYFUNCTION("""COMPUTED_VALUE"""),134.63)</f>
        <v>134.63</v>
      </c>
      <c r="F2628" s="1">
        <f>IFERROR(__xludf.DUMMYFUNCTION("""COMPUTED_VALUE"""),60678.0)</f>
        <v>60678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IFERROR(__xludf.DUMMYFUNCTION("""COMPUTED_VALUE"""),131.83)</f>
        <v>131.83</v>
      </c>
      <c r="C2629" s="1">
        <f>IFERROR(__xludf.DUMMYFUNCTION("""COMPUTED_VALUE"""),131.83)</f>
        <v>131.83</v>
      </c>
      <c r="D2629" s="1">
        <f>IFERROR(__xludf.DUMMYFUNCTION("""COMPUTED_VALUE"""),123.43)</f>
        <v>123.43</v>
      </c>
      <c r="E2629" s="1">
        <f>IFERROR(__xludf.DUMMYFUNCTION("""COMPUTED_VALUE"""),124.13)</f>
        <v>124.13</v>
      </c>
      <c r="F2629" s="1">
        <f>IFERROR(__xludf.DUMMYFUNCTION("""COMPUTED_VALUE"""),138571.0)</f>
        <v>138571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IFERROR(__xludf.DUMMYFUNCTION("""COMPUTED_VALUE"""),128.01)</f>
        <v>128.01</v>
      </c>
      <c r="C2630" s="1">
        <f>IFERROR(__xludf.DUMMYFUNCTION("""COMPUTED_VALUE"""),128.01)</f>
        <v>128.01</v>
      </c>
      <c r="D2630" s="1">
        <f>IFERROR(__xludf.DUMMYFUNCTION("""COMPUTED_VALUE"""),124.21)</f>
        <v>124.21</v>
      </c>
      <c r="E2630" s="1">
        <f>IFERROR(__xludf.DUMMYFUNCTION("""COMPUTED_VALUE"""),126.77)</f>
        <v>126.77</v>
      </c>
      <c r="F2630" s="1">
        <f>IFERROR(__xludf.DUMMYFUNCTION("""COMPUTED_VALUE"""),76925.0)</f>
        <v>76925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IFERROR(__xludf.DUMMYFUNCTION("""COMPUTED_VALUE"""),123.02)</f>
        <v>123.02</v>
      </c>
      <c r="C2631" s="1">
        <f>IFERROR(__xludf.DUMMYFUNCTION("""COMPUTED_VALUE"""),130.18)</f>
        <v>130.18</v>
      </c>
      <c r="D2631" s="1">
        <f>IFERROR(__xludf.DUMMYFUNCTION("""COMPUTED_VALUE"""),122.32)</f>
        <v>122.32</v>
      </c>
      <c r="E2631" s="1">
        <f>IFERROR(__xludf.DUMMYFUNCTION("""COMPUTED_VALUE"""),129.05)</f>
        <v>129.05</v>
      </c>
      <c r="F2631" s="1">
        <f>IFERROR(__xludf.DUMMYFUNCTION("""COMPUTED_VALUE"""),71750.0)</f>
        <v>71750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IFERROR(__xludf.DUMMYFUNCTION("""COMPUTED_VALUE"""),131.84)</f>
        <v>131.84</v>
      </c>
      <c r="C2632" s="1">
        <f>IFERROR(__xludf.DUMMYFUNCTION("""COMPUTED_VALUE"""),133.22)</f>
        <v>133.22</v>
      </c>
      <c r="D2632" s="1">
        <f>IFERROR(__xludf.DUMMYFUNCTION("""COMPUTED_VALUE"""),128.6)</f>
        <v>128.6</v>
      </c>
      <c r="E2632" s="1">
        <f>IFERROR(__xludf.DUMMYFUNCTION("""COMPUTED_VALUE"""),131.17)</f>
        <v>131.17</v>
      </c>
      <c r="F2632" s="1">
        <f>IFERROR(__xludf.DUMMYFUNCTION("""COMPUTED_VALUE"""),60284.0)</f>
        <v>60284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IFERROR(__xludf.DUMMYFUNCTION("""COMPUTED_VALUE"""),131.47)</f>
        <v>131.47</v>
      </c>
      <c r="C2633" s="1">
        <f>IFERROR(__xludf.DUMMYFUNCTION("""COMPUTED_VALUE"""),131.55)</f>
        <v>131.55</v>
      </c>
      <c r="D2633" s="1">
        <f>IFERROR(__xludf.DUMMYFUNCTION("""COMPUTED_VALUE"""),128.94)</f>
        <v>128.94</v>
      </c>
      <c r="E2633" s="1">
        <f>IFERROR(__xludf.DUMMYFUNCTION("""COMPUTED_VALUE"""),129.99)</f>
        <v>129.99</v>
      </c>
      <c r="F2633" s="1">
        <f>IFERROR(__xludf.DUMMYFUNCTION("""COMPUTED_VALUE"""),60389.0)</f>
        <v>60389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IFERROR(__xludf.DUMMYFUNCTION("""COMPUTED_VALUE"""),130.82)</f>
        <v>130.82</v>
      </c>
      <c r="C2634" s="1">
        <f>IFERROR(__xludf.DUMMYFUNCTION("""COMPUTED_VALUE"""),131.1)</f>
        <v>131.1</v>
      </c>
      <c r="D2634" s="1">
        <f>IFERROR(__xludf.DUMMYFUNCTION("""COMPUTED_VALUE"""),127.49)</f>
        <v>127.49</v>
      </c>
      <c r="E2634" s="1">
        <f>IFERROR(__xludf.DUMMYFUNCTION("""COMPUTED_VALUE"""),128.83)</f>
        <v>128.83</v>
      </c>
      <c r="F2634" s="1">
        <f>IFERROR(__xludf.DUMMYFUNCTION("""COMPUTED_VALUE"""),46947.0)</f>
        <v>46947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IFERROR(__xludf.DUMMYFUNCTION("""COMPUTED_VALUE"""),130.02)</f>
        <v>130.02</v>
      </c>
      <c r="C2635" s="1">
        <f>IFERROR(__xludf.DUMMYFUNCTION("""COMPUTED_VALUE"""),130.02)</f>
        <v>130.02</v>
      </c>
      <c r="D2635" s="1">
        <f>IFERROR(__xludf.DUMMYFUNCTION("""COMPUTED_VALUE"""),126.38)</f>
        <v>126.38</v>
      </c>
      <c r="E2635" s="1">
        <f>IFERROR(__xludf.DUMMYFUNCTION("""COMPUTED_VALUE"""),126.61)</f>
        <v>126.61</v>
      </c>
      <c r="F2635" s="1">
        <f>IFERROR(__xludf.DUMMYFUNCTION("""COMPUTED_VALUE"""),129509.0)</f>
        <v>129509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IFERROR(__xludf.DUMMYFUNCTION("""COMPUTED_VALUE"""),126.62)</f>
        <v>126.62</v>
      </c>
      <c r="C2636" s="1">
        <f>IFERROR(__xludf.DUMMYFUNCTION("""COMPUTED_VALUE"""),126.62)</f>
        <v>126.62</v>
      </c>
      <c r="D2636" s="1">
        <f>IFERROR(__xludf.DUMMYFUNCTION("""COMPUTED_VALUE"""),124.48)</f>
        <v>124.48</v>
      </c>
      <c r="E2636" s="1">
        <f>IFERROR(__xludf.DUMMYFUNCTION("""COMPUTED_VALUE"""),126.19)</f>
        <v>126.19</v>
      </c>
      <c r="F2636" s="1">
        <f>IFERROR(__xludf.DUMMYFUNCTION("""COMPUTED_VALUE"""),68921.0)</f>
        <v>68921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IFERROR(__xludf.DUMMYFUNCTION("""COMPUTED_VALUE"""),127.41)</f>
        <v>127.41</v>
      </c>
      <c r="C2637" s="1">
        <f>IFERROR(__xludf.DUMMYFUNCTION("""COMPUTED_VALUE"""),128.07)</f>
        <v>128.07</v>
      </c>
      <c r="D2637" s="1">
        <f>IFERROR(__xludf.DUMMYFUNCTION("""COMPUTED_VALUE"""),125.43)</f>
        <v>125.43</v>
      </c>
      <c r="E2637" s="1">
        <f>IFERROR(__xludf.DUMMYFUNCTION("""COMPUTED_VALUE"""),126.78)</f>
        <v>126.78</v>
      </c>
      <c r="F2637" s="1">
        <f>IFERROR(__xludf.DUMMYFUNCTION("""COMPUTED_VALUE"""),72886.0)</f>
        <v>72886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IFERROR(__xludf.DUMMYFUNCTION("""COMPUTED_VALUE"""),125.83)</f>
        <v>125.83</v>
      </c>
      <c r="C2638" s="1">
        <f>IFERROR(__xludf.DUMMYFUNCTION("""COMPUTED_VALUE"""),126.55)</f>
        <v>126.55</v>
      </c>
      <c r="D2638" s="1">
        <f>IFERROR(__xludf.DUMMYFUNCTION("""COMPUTED_VALUE"""),120.88)</f>
        <v>120.88</v>
      </c>
      <c r="E2638" s="1">
        <f>IFERROR(__xludf.DUMMYFUNCTION("""COMPUTED_VALUE"""),121.37)</f>
        <v>121.37</v>
      </c>
      <c r="F2638" s="1">
        <f>IFERROR(__xludf.DUMMYFUNCTION("""COMPUTED_VALUE"""),116570.0)</f>
        <v>116570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IFERROR(__xludf.DUMMYFUNCTION("""COMPUTED_VALUE"""),121.58)</f>
        <v>121.58</v>
      </c>
      <c r="C2639" s="1">
        <f>IFERROR(__xludf.DUMMYFUNCTION("""COMPUTED_VALUE"""),122.3)</f>
        <v>122.3</v>
      </c>
      <c r="D2639" s="1">
        <f>IFERROR(__xludf.DUMMYFUNCTION("""COMPUTED_VALUE"""),119.96)</f>
        <v>119.96</v>
      </c>
      <c r="E2639" s="1">
        <f>IFERROR(__xludf.DUMMYFUNCTION("""COMPUTED_VALUE"""),121.66)</f>
        <v>121.66</v>
      </c>
      <c r="F2639" s="1">
        <f>IFERROR(__xludf.DUMMYFUNCTION("""COMPUTED_VALUE"""),94962.0)</f>
        <v>94962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IFERROR(__xludf.DUMMYFUNCTION("""COMPUTED_VALUE"""),120.33)</f>
        <v>120.33</v>
      </c>
      <c r="C2640" s="1">
        <f>IFERROR(__xludf.DUMMYFUNCTION("""COMPUTED_VALUE"""),120.95)</f>
        <v>120.95</v>
      </c>
      <c r="D2640" s="1">
        <f>IFERROR(__xludf.DUMMYFUNCTION("""COMPUTED_VALUE"""),117.9)</f>
        <v>117.9</v>
      </c>
      <c r="E2640" s="1">
        <f>IFERROR(__xludf.DUMMYFUNCTION("""COMPUTED_VALUE"""),118.17)</f>
        <v>118.17</v>
      </c>
      <c r="F2640" s="1">
        <f>IFERROR(__xludf.DUMMYFUNCTION("""COMPUTED_VALUE"""),301501.0)</f>
        <v>301501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IFERROR(__xludf.DUMMYFUNCTION("""COMPUTED_VALUE"""),119.97)</f>
        <v>119.97</v>
      </c>
      <c r="C2641" s="1">
        <f>IFERROR(__xludf.DUMMYFUNCTION("""COMPUTED_VALUE"""),125.5)</f>
        <v>125.5</v>
      </c>
      <c r="D2641" s="1">
        <f>IFERROR(__xludf.DUMMYFUNCTION("""COMPUTED_VALUE"""),119.34)</f>
        <v>119.34</v>
      </c>
      <c r="E2641" s="1">
        <f>IFERROR(__xludf.DUMMYFUNCTION("""COMPUTED_VALUE"""),124.56)</f>
        <v>124.56</v>
      </c>
      <c r="F2641" s="1">
        <f>IFERROR(__xludf.DUMMYFUNCTION("""COMPUTED_VALUE"""),90680.0)</f>
        <v>90680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IFERROR(__xludf.DUMMYFUNCTION("""COMPUTED_VALUE"""),125.34)</f>
        <v>125.34</v>
      </c>
      <c r="C2642" s="1">
        <f>IFERROR(__xludf.DUMMYFUNCTION("""COMPUTED_VALUE"""),127.99)</f>
        <v>127.99</v>
      </c>
      <c r="D2642" s="1">
        <f>IFERROR(__xludf.DUMMYFUNCTION("""COMPUTED_VALUE"""),124.9)</f>
        <v>124.9</v>
      </c>
      <c r="E2642" s="1">
        <f>IFERROR(__xludf.DUMMYFUNCTION("""COMPUTED_VALUE"""),127.13)</f>
        <v>127.13</v>
      </c>
      <c r="F2642" s="1">
        <f>IFERROR(__xludf.DUMMYFUNCTION("""COMPUTED_VALUE"""),124802.0)</f>
        <v>124802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IFERROR(__xludf.DUMMYFUNCTION("""COMPUTED_VALUE"""),127.56)</f>
        <v>127.56</v>
      </c>
      <c r="C2643" s="1">
        <f>IFERROR(__xludf.DUMMYFUNCTION("""COMPUTED_VALUE"""),129.34)</f>
        <v>129.34</v>
      </c>
      <c r="D2643" s="1">
        <f>IFERROR(__xludf.DUMMYFUNCTION("""COMPUTED_VALUE"""),123.62)</f>
        <v>123.62</v>
      </c>
      <c r="E2643" s="1">
        <f>IFERROR(__xludf.DUMMYFUNCTION("""COMPUTED_VALUE"""),124.33)</f>
        <v>124.33</v>
      </c>
      <c r="F2643" s="1">
        <f>IFERROR(__xludf.DUMMYFUNCTION("""COMPUTED_VALUE"""),68350.0)</f>
        <v>68350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IFERROR(__xludf.DUMMYFUNCTION("""COMPUTED_VALUE"""),126.35)</f>
        <v>126.35</v>
      </c>
      <c r="C2644" s="1">
        <f>IFERROR(__xludf.DUMMYFUNCTION("""COMPUTED_VALUE"""),127.27)</f>
        <v>127.27</v>
      </c>
      <c r="D2644" s="1">
        <f>IFERROR(__xludf.DUMMYFUNCTION("""COMPUTED_VALUE"""),122.64)</f>
        <v>122.64</v>
      </c>
      <c r="E2644" s="1">
        <f>IFERROR(__xludf.DUMMYFUNCTION("""COMPUTED_VALUE"""),123.58)</f>
        <v>123.58</v>
      </c>
      <c r="F2644" s="1">
        <f>IFERROR(__xludf.DUMMYFUNCTION("""COMPUTED_VALUE"""),71524.0)</f>
        <v>71524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IFERROR(__xludf.DUMMYFUNCTION("""COMPUTED_VALUE"""),126.06)</f>
        <v>126.06</v>
      </c>
      <c r="C2645" s="1">
        <f>IFERROR(__xludf.DUMMYFUNCTION("""COMPUTED_VALUE"""),126.99)</f>
        <v>126.99</v>
      </c>
      <c r="D2645" s="1">
        <f>IFERROR(__xludf.DUMMYFUNCTION("""COMPUTED_VALUE"""),124.61)</f>
        <v>124.61</v>
      </c>
      <c r="E2645" s="1">
        <f>IFERROR(__xludf.DUMMYFUNCTION("""COMPUTED_VALUE"""),124.99)</f>
        <v>124.99</v>
      </c>
      <c r="F2645" s="1">
        <f>IFERROR(__xludf.DUMMYFUNCTION("""COMPUTED_VALUE"""),105376.0)</f>
        <v>105376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IFERROR(__xludf.DUMMYFUNCTION("""COMPUTED_VALUE"""),123.5)</f>
        <v>123.5</v>
      </c>
      <c r="C2646" s="1">
        <f>IFERROR(__xludf.DUMMYFUNCTION("""COMPUTED_VALUE"""),124.04)</f>
        <v>124.04</v>
      </c>
      <c r="D2646" s="1">
        <f>IFERROR(__xludf.DUMMYFUNCTION("""COMPUTED_VALUE"""),121.43)</f>
        <v>121.43</v>
      </c>
      <c r="E2646" s="1">
        <f>IFERROR(__xludf.DUMMYFUNCTION("""COMPUTED_VALUE"""),123.56)</f>
        <v>123.56</v>
      </c>
      <c r="F2646" s="1">
        <f>IFERROR(__xludf.DUMMYFUNCTION("""COMPUTED_VALUE"""),91994.0)</f>
        <v>91994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IFERROR(__xludf.DUMMYFUNCTION("""COMPUTED_VALUE"""),123.32)</f>
        <v>123.32</v>
      </c>
      <c r="C2647" s="1">
        <f>IFERROR(__xludf.DUMMYFUNCTION("""COMPUTED_VALUE"""),123.59)</f>
        <v>123.59</v>
      </c>
      <c r="D2647" s="1">
        <f>IFERROR(__xludf.DUMMYFUNCTION("""COMPUTED_VALUE"""),121.41)</f>
        <v>121.41</v>
      </c>
      <c r="E2647" s="1">
        <f>IFERROR(__xludf.DUMMYFUNCTION("""COMPUTED_VALUE"""),122.92)</f>
        <v>122.92</v>
      </c>
      <c r="F2647" s="1">
        <f>IFERROR(__xludf.DUMMYFUNCTION("""COMPUTED_VALUE"""),76313.0)</f>
        <v>76313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IFERROR(__xludf.DUMMYFUNCTION("""COMPUTED_VALUE"""),122.92)</f>
        <v>122.92</v>
      </c>
      <c r="C2648" s="1">
        <f>IFERROR(__xludf.DUMMYFUNCTION("""COMPUTED_VALUE"""),122.92)</f>
        <v>122.92</v>
      </c>
      <c r="D2648" s="1">
        <f>IFERROR(__xludf.DUMMYFUNCTION("""COMPUTED_VALUE"""),119.5)</f>
        <v>119.5</v>
      </c>
      <c r="E2648" s="1">
        <f>IFERROR(__xludf.DUMMYFUNCTION("""COMPUTED_VALUE"""),120.03)</f>
        <v>120.03</v>
      </c>
      <c r="F2648" s="1">
        <f>IFERROR(__xludf.DUMMYFUNCTION("""COMPUTED_VALUE"""),69470.0)</f>
        <v>69470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IFERROR(__xludf.DUMMYFUNCTION("""COMPUTED_VALUE"""),119.82)</f>
        <v>119.82</v>
      </c>
      <c r="C2649" s="1">
        <f>IFERROR(__xludf.DUMMYFUNCTION("""COMPUTED_VALUE"""),122.14)</f>
        <v>122.14</v>
      </c>
      <c r="D2649" s="1">
        <f>IFERROR(__xludf.DUMMYFUNCTION("""COMPUTED_VALUE"""),119.48)</f>
        <v>119.48</v>
      </c>
      <c r="E2649" s="1">
        <f>IFERROR(__xludf.DUMMYFUNCTION("""COMPUTED_VALUE"""),121.82)</f>
        <v>121.82</v>
      </c>
      <c r="F2649" s="1">
        <f>IFERROR(__xludf.DUMMYFUNCTION("""COMPUTED_VALUE"""),103138.0)</f>
        <v>103138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IFERROR(__xludf.DUMMYFUNCTION("""COMPUTED_VALUE"""),122.76)</f>
        <v>122.76</v>
      </c>
      <c r="C2650" s="1">
        <f>IFERROR(__xludf.DUMMYFUNCTION("""COMPUTED_VALUE"""),123.5)</f>
        <v>123.5</v>
      </c>
      <c r="D2650" s="1">
        <f>IFERROR(__xludf.DUMMYFUNCTION("""COMPUTED_VALUE"""),121.68)</f>
        <v>121.68</v>
      </c>
      <c r="E2650" s="1">
        <f>IFERROR(__xludf.DUMMYFUNCTION("""COMPUTED_VALUE"""),121.79)</f>
        <v>121.79</v>
      </c>
      <c r="F2650" s="1">
        <f>IFERROR(__xludf.DUMMYFUNCTION("""COMPUTED_VALUE"""),62661.0)</f>
        <v>62661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IFERROR(__xludf.DUMMYFUNCTION("""COMPUTED_VALUE"""),122.23)</f>
        <v>122.23</v>
      </c>
      <c r="C2651" s="1">
        <f>IFERROR(__xludf.DUMMYFUNCTION("""COMPUTED_VALUE"""),124.28)</f>
        <v>124.28</v>
      </c>
      <c r="D2651" s="1">
        <f>IFERROR(__xludf.DUMMYFUNCTION("""COMPUTED_VALUE"""),121.12)</f>
        <v>121.12</v>
      </c>
      <c r="E2651" s="1">
        <f>IFERROR(__xludf.DUMMYFUNCTION("""COMPUTED_VALUE"""),123.98)</f>
        <v>123.98</v>
      </c>
      <c r="F2651" s="1">
        <f>IFERROR(__xludf.DUMMYFUNCTION("""COMPUTED_VALUE"""),74590.0)</f>
        <v>74590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IFERROR(__xludf.DUMMYFUNCTION("""COMPUTED_VALUE"""),125.76)</f>
        <v>125.76</v>
      </c>
      <c r="C2652" s="1">
        <f>IFERROR(__xludf.DUMMYFUNCTION("""COMPUTED_VALUE"""),129.9)</f>
        <v>129.9</v>
      </c>
      <c r="D2652" s="1">
        <f>IFERROR(__xludf.DUMMYFUNCTION("""COMPUTED_VALUE"""),125.76)</f>
        <v>125.76</v>
      </c>
      <c r="E2652" s="1">
        <f>IFERROR(__xludf.DUMMYFUNCTION("""COMPUTED_VALUE"""),126.09)</f>
        <v>126.09</v>
      </c>
      <c r="F2652" s="1">
        <f>IFERROR(__xludf.DUMMYFUNCTION("""COMPUTED_VALUE"""),131628.0)</f>
        <v>131628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IFERROR(__xludf.DUMMYFUNCTION("""COMPUTED_VALUE"""),125.12)</f>
        <v>125.12</v>
      </c>
      <c r="C2653" s="1">
        <f>IFERROR(__xludf.DUMMYFUNCTION("""COMPUTED_VALUE"""),128.97)</f>
        <v>128.97</v>
      </c>
      <c r="D2653" s="1">
        <f>IFERROR(__xludf.DUMMYFUNCTION("""COMPUTED_VALUE"""),124.51)</f>
        <v>124.51</v>
      </c>
      <c r="E2653" s="1">
        <f>IFERROR(__xludf.DUMMYFUNCTION("""COMPUTED_VALUE"""),127.94)</f>
        <v>127.94</v>
      </c>
      <c r="F2653" s="1">
        <f>IFERROR(__xludf.DUMMYFUNCTION("""COMPUTED_VALUE"""),113312.0)</f>
        <v>113312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IFERROR(__xludf.DUMMYFUNCTION("""COMPUTED_VALUE"""),128.0)</f>
        <v>128</v>
      </c>
      <c r="C2654" s="1">
        <f>IFERROR(__xludf.DUMMYFUNCTION("""COMPUTED_VALUE"""),129.5)</f>
        <v>129.5</v>
      </c>
      <c r="D2654" s="1">
        <f>IFERROR(__xludf.DUMMYFUNCTION("""COMPUTED_VALUE"""),126.71)</f>
        <v>126.71</v>
      </c>
      <c r="E2654" s="1">
        <f>IFERROR(__xludf.DUMMYFUNCTION("""COMPUTED_VALUE"""),127.68)</f>
        <v>127.68</v>
      </c>
      <c r="F2654" s="1">
        <f>IFERROR(__xludf.DUMMYFUNCTION("""COMPUTED_VALUE"""),107127.0)</f>
        <v>107127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IFERROR(__xludf.DUMMYFUNCTION("""COMPUTED_VALUE"""),127.21)</f>
        <v>127.21</v>
      </c>
      <c r="C2655" s="1">
        <f>IFERROR(__xludf.DUMMYFUNCTION("""COMPUTED_VALUE"""),127.42)</f>
        <v>127.42</v>
      </c>
      <c r="D2655" s="1">
        <f>IFERROR(__xludf.DUMMYFUNCTION("""COMPUTED_VALUE"""),124.18)</f>
        <v>124.18</v>
      </c>
      <c r="E2655" s="1">
        <f>IFERROR(__xludf.DUMMYFUNCTION("""COMPUTED_VALUE"""),126.34)</f>
        <v>126.34</v>
      </c>
      <c r="F2655" s="1">
        <f>IFERROR(__xludf.DUMMYFUNCTION("""COMPUTED_VALUE"""),76107.0)</f>
        <v>76107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IFERROR(__xludf.DUMMYFUNCTION("""COMPUTED_VALUE"""),128.13)</f>
        <v>128.13</v>
      </c>
      <c r="C2656" s="1">
        <f>IFERROR(__xludf.DUMMYFUNCTION("""COMPUTED_VALUE"""),129.71)</f>
        <v>129.71</v>
      </c>
      <c r="D2656" s="1">
        <f>IFERROR(__xludf.DUMMYFUNCTION("""COMPUTED_VALUE"""),127.09)</f>
        <v>127.09</v>
      </c>
      <c r="E2656" s="1">
        <f>IFERROR(__xludf.DUMMYFUNCTION("""COMPUTED_VALUE"""),127.74)</f>
        <v>127.74</v>
      </c>
      <c r="F2656" s="1">
        <f>IFERROR(__xludf.DUMMYFUNCTION("""COMPUTED_VALUE"""),95003.0)</f>
        <v>95003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IFERROR(__xludf.DUMMYFUNCTION("""COMPUTED_VALUE"""),126.88)</f>
        <v>126.88</v>
      </c>
      <c r="C2657" s="1">
        <f>IFERROR(__xludf.DUMMYFUNCTION("""COMPUTED_VALUE"""),129.16)</f>
        <v>129.16</v>
      </c>
      <c r="D2657" s="1">
        <f>IFERROR(__xludf.DUMMYFUNCTION("""COMPUTED_VALUE"""),125.91)</f>
        <v>125.91</v>
      </c>
      <c r="E2657" s="1">
        <f>IFERROR(__xludf.DUMMYFUNCTION("""COMPUTED_VALUE"""),128.27)</f>
        <v>128.27</v>
      </c>
      <c r="F2657" s="1">
        <f>IFERROR(__xludf.DUMMYFUNCTION("""COMPUTED_VALUE"""),90384.0)</f>
        <v>90384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IFERROR(__xludf.DUMMYFUNCTION("""COMPUTED_VALUE"""),128.68)</f>
        <v>128.68</v>
      </c>
      <c r="C2658" s="1">
        <f>IFERROR(__xludf.DUMMYFUNCTION("""COMPUTED_VALUE"""),131.34)</f>
        <v>131.34</v>
      </c>
      <c r="D2658" s="1">
        <f>IFERROR(__xludf.DUMMYFUNCTION("""COMPUTED_VALUE"""),128.68)</f>
        <v>128.68</v>
      </c>
      <c r="E2658" s="1">
        <f>IFERROR(__xludf.DUMMYFUNCTION("""COMPUTED_VALUE"""),130.47)</f>
        <v>130.47</v>
      </c>
      <c r="F2658" s="1">
        <f>IFERROR(__xludf.DUMMYFUNCTION("""COMPUTED_VALUE"""),84465.0)</f>
        <v>84465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IFERROR(__xludf.DUMMYFUNCTION("""COMPUTED_VALUE"""),130.89)</f>
        <v>130.89</v>
      </c>
      <c r="C2659" s="1">
        <f>IFERROR(__xludf.DUMMYFUNCTION("""COMPUTED_VALUE"""),131.71)</f>
        <v>131.71</v>
      </c>
      <c r="D2659" s="1">
        <f>IFERROR(__xludf.DUMMYFUNCTION("""COMPUTED_VALUE"""),127.61)</f>
        <v>127.61</v>
      </c>
      <c r="E2659" s="1">
        <f>IFERROR(__xludf.DUMMYFUNCTION("""COMPUTED_VALUE"""),128.47)</f>
        <v>128.47</v>
      </c>
      <c r="F2659" s="1">
        <f>IFERROR(__xludf.DUMMYFUNCTION("""COMPUTED_VALUE"""),102351.0)</f>
        <v>102351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IFERROR(__xludf.DUMMYFUNCTION("""COMPUTED_VALUE"""),128.37)</f>
        <v>128.37</v>
      </c>
      <c r="C2660" s="1">
        <f>IFERROR(__xludf.DUMMYFUNCTION("""COMPUTED_VALUE"""),131.14)</f>
        <v>131.14</v>
      </c>
      <c r="D2660" s="1">
        <f>IFERROR(__xludf.DUMMYFUNCTION("""COMPUTED_VALUE"""),127.51)</f>
        <v>127.51</v>
      </c>
      <c r="E2660" s="1">
        <f>IFERROR(__xludf.DUMMYFUNCTION("""COMPUTED_VALUE"""),130.07)</f>
        <v>130.07</v>
      </c>
      <c r="F2660" s="1">
        <f>IFERROR(__xludf.DUMMYFUNCTION("""COMPUTED_VALUE"""),104577.0)</f>
        <v>104577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IFERROR(__xludf.DUMMYFUNCTION("""COMPUTED_VALUE"""),115.0)</f>
        <v>115</v>
      </c>
      <c r="C2661" s="1">
        <f>IFERROR(__xludf.DUMMYFUNCTION("""COMPUTED_VALUE"""),128.5)</f>
        <v>128.5</v>
      </c>
      <c r="D2661" s="1">
        <f>IFERROR(__xludf.DUMMYFUNCTION("""COMPUTED_VALUE"""),115.0)</f>
        <v>115</v>
      </c>
      <c r="E2661" s="1">
        <f>IFERROR(__xludf.DUMMYFUNCTION("""COMPUTED_VALUE"""),125.99)</f>
        <v>125.99</v>
      </c>
      <c r="F2661" s="1">
        <f>IFERROR(__xludf.DUMMYFUNCTION("""COMPUTED_VALUE"""),225060.0)</f>
        <v>225060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IFERROR(__xludf.DUMMYFUNCTION("""COMPUTED_VALUE"""),125.79)</f>
        <v>125.79</v>
      </c>
      <c r="C2662" s="1">
        <f>IFERROR(__xludf.DUMMYFUNCTION("""COMPUTED_VALUE"""),128.7)</f>
        <v>128.7</v>
      </c>
      <c r="D2662" s="1">
        <f>IFERROR(__xludf.DUMMYFUNCTION("""COMPUTED_VALUE"""),123.62)</f>
        <v>123.62</v>
      </c>
      <c r="E2662" s="1">
        <f>IFERROR(__xludf.DUMMYFUNCTION("""COMPUTED_VALUE"""),124.68)</f>
        <v>124.68</v>
      </c>
      <c r="F2662" s="1">
        <f>IFERROR(__xludf.DUMMYFUNCTION("""COMPUTED_VALUE"""),77207.0)</f>
        <v>77207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IFERROR(__xludf.DUMMYFUNCTION("""COMPUTED_VALUE"""),123.13)</f>
        <v>123.13</v>
      </c>
      <c r="C2663" s="1">
        <f>IFERROR(__xludf.DUMMYFUNCTION("""COMPUTED_VALUE"""),124.94)</f>
        <v>124.94</v>
      </c>
      <c r="D2663" s="1">
        <f>IFERROR(__xludf.DUMMYFUNCTION("""COMPUTED_VALUE"""),121.67)</f>
        <v>121.67</v>
      </c>
      <c r="E2663" s="1">
        <f>IFERROR(__xludf.DUMMYFUNCTION("""COMPUTED_VALUE"""),122.06)</f>
        <v>122.06</v>
      </c>
      <c r="F2663" s="1">
        <f>IFERROR(__xludf.DUMMYFUNCTION("""COMPUTED_VALUE"""),112360.0)</f>
        <v>112360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IFERROR(__xludf.DUMMYFUNCTION("""COMPUTED_VALUE"""),121.04)</f>
        <v>121.04</v>
      </c>
      <c r="C2664" s="1">
        <f>IFERROR(__xludf.DUMMYFUNCTION("""COMPUTED_VALUE"""),123.28)</f>
        <v>123.28</v>
      </c>
      <c r="D2664" s="1">
        <f>IFERROR(__xludf.DUMMYFUNCTION("""COMPUTED_VALUE"""),120.69)</f>
        <v>120.69</v>
      </c>
      <c r="E2664" s="1">
        <f>IFERROR(__xludf.DUMMYFUNCTION("""COMPUTED_VALUE"""),123.13)</f>
        <v>123.13</v>
      </c>
      <c r="F2664" s="1">
        <f>IFERROR(__xludf.DUMMYFUNCTION("""COMPUTED_VALUE"""),121025.0)</f>
        <v>121025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IFERROR(__xludf.DUMMYFUNCTION("""COMPUTED_VALUE"""),123.34)</f>
        <v>123.34</v>
      </c>
      <c r="C2665" s="1">
        <f>IFERROR(__xludf.DUMMYFUNCTION("""COMPUTED_VALUE"""),124.4)</f>
        <v>124.4</v>
      </c>
      <c r="D2665" s="1">
        <f>IFERROR(__xludf.DUMMYFUNCTION("""COMPUTED_VALUE"""),121.39)</f>
        <v>121.39</v>
      </c>
      <c r="E2665" s="1">
        <f>IFERROR(__xludf.DUMMYFUNCTION("""COMPUTED_VALUE"""),123.56)</f>
        <v>123.56</v>
      </c>
      <c r="F2665" s="1">
        <f>IFERROR(__xludf.DUMMYFUNCTION("""COMPUTED_VALUE"""),105477.0)</f>
        <v>105477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IFERROR(__xludf.DUMMYFUNCTION("""COMPUTED_VALUE"""),123.58)</f>
        <v>123.58</v>
      </c>
      <c r="C2666" s="1">
        <f>IFERROR(__xludf.DUMMYFUNCTION("""COMPUTED_VALUE"""),125.83)</f>
        <v>125.83</v>
      </c>
      <c r="D2666" s="1">
        <f>IFERROR(__xludf.DUMMYFUNCTION("""COMPUTED_VALUE"""),122.64)</f>
        <v>122.64</v>
      </c>
      <c r="E2666" s="1">
        <f>IFERROR(__xludf.DUMMYFUNCTION("""COMPUTED_VALUE"""),125.5)</f>
        <v>125.5</v>
      </c>
      <c r="F2666" s="1">
        <f>IFERROR(__xludf.DUMMYFUNCTION("""COMPUTED_VALUE"""),179395.0)</f>
        <v>179395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IFERROR(__xludf.DUMMYFUNCTION("""COMPUTED_VALUE"""),126.17)</f>
        <v>126.17</v>
      </c>
      <c r="C2667" s="1">
        <f>IFERROR(__xludf.DUMMYFUNCTION("""COMPUTED_VALUE"""),128.03)</f>
        <v>128.03</v>
      </c>
      <c r="D2667" s="1">
        <f>IFERROR(__xludf.DUMMYFUNCTION("""COMPUTED_VALUE"""),124.53)</f>
        <v>124.53</v>
      </c>
      <c r="E2667" s="1">
        <f>IFERROR(__xludf.DUMMYFUNCTION("""COMPUTED_VALUE"""),127.52)</f>
        <v>127.52</v>
      </c>
      <c r="F2667" s="1">
        <f>IFERROR(__xludf.DUMMYFUNCTION("""COMPUTED_VALUE"""),113189.0)</f>
        <v>113189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IFERROR(__xludf.DUMMYFUNCTION("""COMPUTED_VALUE"""),127.21)</f>
        <v>127.21</v>
      </c>
      <c r="C2668" s="1">
        <f>IFERROR(__xludf.DUMMYFUNCTION("""COMPUTED_VALUE"""),127.93)</f>
        <v>127.93</v>
      </c>
      <c r="D2668" s="1">
        <f>IFERROR(__xludf.DUMMYFUNCTION("""COMPUTED_VALUE"""),124.33)</f>
        <v>124.33</v>
      </c>
      <c r="E2668" s="1">
        <f>IFERROR(__xludf.DUMMYFUNCTION("""COMPUTED_VALUE"""),127.02)</f>
        <v>127.02</v>
      </c>
      <c r="F2668" s="1">
        <f>IFERROR(__xludf.DUMMYFUNCTION("""COMPUTED_VALUE"""),104788.0)</f>
        <v>104788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IFERROR(__xludf.DUMMYFUNCTION("""COMPUTED_VALUE"""),126.41)</f>
        <v>126.41</v>
      </c>
      <c r="C2669" s="1">
        <f>IFERROR(__xludf.DUMMYFUNCTION("""COMPUTED_VALUE"""),129.05)</f>
        <v>129.05</v>
      </c>
      <c r="D2669" s="1">
        <f>IFERROR(__xludf.DUMMYFUNCTION("""COMPUTED_VALUE"""),124.6)</f>
        <v>124.6</v>
      </c>
      <c r="E2669" s="1">
        <f>IFERROR(__xludf.DUMMYFUNCTION("""COMPUTED_VALUE"""),128.67)</f>
        <v>128.67</v>
      </c>
      <c r="F2669" s="1">
        <f>IFERROR(__xludf.DUMMYFUNCTION("""COMPUTED_VALUE"""),82499.0)</f>
        <v>82499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IFERROR(__xludf.DUMMYFUNCTION("""COMPUTED_VALUE"""),129.09)</f>
        <v>129.09</v>
      </c>
      <c r="C2670" s="1">
        <f>IFERROR(__xludf.DUMMYFUNCTION("""COMPUTED_VALUE"""),132.92)</f>
        <v>132.92</v>
      </c>
      <c r="D2670" s="1">
        <f>IFERROR(__xludf.DUMMYFUNCTION("""COMPUTED_VALUE"""),124.65)</f>
        <v>124.65</v>
      </c>
      <c r="E2670" s="1">
        <f>IFERROR(__xludf.DUMMYFUNCTION("""COMPUTED_VALUE"""),131.35)</f>
        <v>131.35</v>
      </c>
      <c r="F2670" s="1">
        <f>IFERROR(__xludf.DUMMYFUNCTION("""COMPUTED_VALUE"""),112006.0)</f>
        <v>112006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IFERROR(__xludf.DUMMYFUNCTION("""COMPUTED_VALUE"""),132.78)</f>
        <v>132.78</v>
      </c>
      <c r="C2671" s="1">
        <f>IFERROR(__xludf.DUMMYFUNCTION("""COMPUTED_VALUE"""),134.13)</f>
        <v>134.13</v>
      </c>
      <c r="D2671" s="1">
        <f>IFERROR(__xludf.DUMMYFUNCTION("""COMPUTED_VALUE"""),130.6)</f>
        <v>130.6</v>
      </c>
      <c r="E2671" s="1">
        <f>IFERROR(__xludf.DUMMYFUNCTION("""COMPUTED_VALUE"""),131.0)</f>
        <v>131</v>
      </c>
      <c r="F2671" s="1">
        <f>IFERROR(__xludf.DUMMYFUNCTION("""COMPUTED_VALUE"""),129323.0)</f>
        <v>129323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IFERROR(__xludf.DUMMYFUNCTION("""COMPUTED_VALUE"""),131.99)</f>
        <v>131.99</v>
      </c>
      <c r="C2672" s="1">
        <f>IFERROR(__xludf.DUMMYFUNCTION("""COMPUTED_VALUE"""),132.98)</f>
        <v>132.98</v>
      </c>
      <c r="D2672" s="1">
        <f>IFERROR(__xludf.DUMMYFUNCTION("""COMPUTED_VALUE"""),130.38)</f>
        <v>130.38</v>
      </c>
      <c r="E2672" s="1">
        <f>IFERROR(__xludf.DUMMYFUNCTION("""COMPUTED_VALUE"""),131.39)</f>
        <v>131.39</v>
      </c>
      <c r="F2672" s="1">
        <f>IFERROR(__xludf.DUMMYFUNCTION("""COMPUTED_VALUE"""),93150.0)</f>
        <v>93150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IFERROR(__xludf.DUMMYFUNCTION("""COMPUTED_VALUE"""),131.26)</f>
        <v>131.26</v>
      </c>
      <c r="C2673" s="1">
        <f>IFERROR(__xludf.DUMMYFUNCTION("""COMPUTED_VALUE"""),131.88)</f>
        <v>131.88</v>
      </c>
      <c r="D2673" s="1">
        <f>IFERROR(__xludf.DUMMYFUNCTION("""COMPUTED_VALUE"""),130.69)</f>
        <v>130.69</v>
      </c>
      <c r="E2673" s="1">
        <f>IFERROR(__xludf.DUMMYFUNCTION("""COMPUTED_VALUE"""),131.11)</f>
        <v>131.11</v>
      </c>
      <c r="F2673" s="1">
        <f>IFERROR(__xludf.DUMMYFUNCTION("""COMPUTED_VALUE"""),56368.0)</f>
        <v>56368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IFERROR(__xludf.DUMMYFUNCTION("""COMPUTED_VALUE"""),129.71)</f>
        <v>129.71</v>
      </c>
      <c r="C2674" s="1">
        <f>IFERROR(__xludf.DUMMYFUNCTION("""COMPUTED_VALUE"""),132.53)</f>
        <v>132.53</v>
      </c>
      <c r="D2674" s="1">
        <f>IFERROR(__xludf.DUMMYFUNCTION("""COMPUTED_VALUE"""),129.41)</f>
        <v>129.41</v>
      </c>
      <c r="E2674" s="1">
        <f>IFERROR(__xludf.DUMMYFUNCTION("""COMPUTED_VALUE"""),131.43)</f>
        <v>131.43</v>
      </c>
      <c r="F2674" s="1">
        <f>IFERROR(__xludf.DUMMYFUNCTION("""COMPUTED_VALUE"""),80760.0)</f>
        <v>80760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IFERROR(__xludf.DUMMYFUNCTION("""COMPUTED_VALUE"""),131.3)</f>
        <v>131.3</v>
      </c>
      <c r="C2675" s="1">
        <f>IFERROR(__xludf.DUMMYFUNCTION("""COMPUTED_VALUE"""),131.52)</f>
        <v>131.52</v>
      </c>
      <c r="D2675" s="1">
        <f>IFERROR(__xludf.DUMMYFUNCTION("""COMPUTED_VALUE"""),129.52)</f>
        <v>129.52</v>
      </c>
      <c r="E2675" s="1">
        <f>IFERROR(__xludf.DUMMYFUNCTION("""COMPUTED_VALUE"""),130.93)</f>
        <v>130.93</v>
      </c>
      <c r="F2675" s="1">
        <f>IFERROR(__xludf.DUMMYFUNCTION("""COMPUTED_VALUE"""),73743.0)</f>
        <v>73743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IFERROR(__xludf.DUMMYFUNCTION("""COMPUTED_VALUE"""),131.55)</f>
        <v>131.55</v>
      </c>
      <c r="C2676" s="1">
        <f>IFERROR(__xludf.DUMMYFUNCTION("""COMPUTED_VALUE"""),132.24)</f>
        <v>132.24</v>
      </c>
      <c r="D2676" s="1">
        <f>IFERROR(__xludf.DUMMYFUNCTION("""COMPUTED_VALUE"""),130.02)</f>
        <v>130.02</v>
      </c>
      <c r="E2676" s="1">
        <f>IFERROR(__xludf.DUMMYFUNCTION("""COMPUTED_VALUE"""),131.18)</f>
        <v>131.18</v>
      </c>
      <c r="F2676" s="1">
        <f>IFERROR(__xludf.DUMMYFUNCTION("""COMPUTED_VALUE"""),112257.0)</f>
        <v>112257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IFERROR(__xludf.DUMMYFUNCTION("""COMPUTED_VALUE"""),131.76)</f>
        <v>131.76</v>
      </c>
      <c r="C2677" s="1">
        <f>IFERROR(__xludf.DUMMYFUNCTION("""COMPUTED_VALUE"""),131.77)</f>
        <v>131.77</v>
      </c>
      <c r="D2677" s="1">
        <f>IFERROR(__xludf.DUMMYFUNCTION("""COMPUTED_VALUE"""),129.88)</f>
        <v>129.88</v>
      </c>
      <c r="E2677" s="1">
        <f>IFERROR(__xludf.DUMMYFUNCTION("""COMPUTED_VALUE"""),131.47)</f>
        <v>131.47</v>
      </c>
      <c r="F2677" s="1">
        <f>IFERROR(__xludf.DUMMYFUNCTION("""COMPUTED_VALUE"""),114742.0)</f>
        <v>114742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IFERROR(__xludf.DUMMYFUNCTION("""COMPUTED_VALUE"""),130.58)</f>
        <v>130.58</v>
      </c>
      <c r="C2678" s="1">
        <f>IFERROR(__xludf.DUMMYFUNCTION("""COMPUTED_VALUE"""),135.22)</f>
        <v>135.22</v>
      </c>
      <c r="D2678" s="1">
        <f>IFERROR(__xludf.DUMMYFUNCTION("""COMPUTED_VALUE"""),130.57)</f>
        <v>130.57</v>
      </c>
      <c r="E2678" s="1">
        <f>IFERROR(__xludf.DUMMYFUNCTION("""COMPUTED_VALUE"""),132.67)</f>
        <v>132.67</v>
      </c>
      <c r="F2678" s="1">
        <f>IFERROR(__xludf.DUMMYFUNCTION("""COMPUTED_VALUE"""),106544.0)</f>
        <v>106544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IFERROR(__xludf.DUMMYFUNCTION("""COMPUTED_VALUE"""),131.75)</f>
        <v>131.75</v>
      </c>
      <c r="C2679" s="1">
        <f>IFERROR(__xludf.DUMMYFUNCTION("""COMPUTED_VALUE"""),132.58)</f>
        <v>132.58</v>
      </c>
      <c r="D2679" s="1">
        <f>IFERROR(__xludf.DUMMYFUNCTION("""COMPUTED_VALUE"""),130.89)</f>
        <v>130.89</v>
      </c>
      <c r="E2679" s="1">
        <f>IFERROR(__xludf.DUMMYFUNCTION("""COMPUTED_VALUE"""),132.55)</f>
        <v>132.55</v>
      </c>
      <c r="F2679" s="1">
        <f>IFERROR(__xludf.DUMMYFUNCTION("""COMPUTED_VALUE"""),57788.0)</f>
        <v>57788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IFERROR(__xludf.DUMMYFUNCTION("""COMPUTED_VALUE"""),133.89)</f>
        <v>133.89</v>
      </c>
      <c r="C2680" s="1">
        <f>IFERROR(__xludf.DUMMYFUNCTION("""COMPUTED_VALUE"""),136.0)</f>
        <v>136</v>
      </c>
      <c r="D2680" s="1">
        <f>IFERROR(__xludf.DUMMYFUNCTION("""COMPUTED_VALUE"""),132.62)</f>
        <v>132.62</v>
      </c>
      <c r="E2680" s="1">
        <f>IFERROR(__xludf.DUMMYFUNCTION("""COMPUTED_VALUE"""),136.0)</f>
        <v>136</v>
      </c>
      <c r="F2680" s="1">
        <f>IFERROR(__xludf.DUMMYFUNCTION("""COMPUTED_VALUE"""),98603.0)</f>
        <v>98603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IFERROR(__xludf.DUMMYFUNCTION("""COMPUTED_VALUE"""),137.44)</f>
        <v>137.44</v>
      </c>
      <c r="C2681" s="1">
        <f>IFERROR(__xludf.DUMMYFUNCTION("""COMPUTED_VALUE"""),139.34)</f>
        <v>139.34</v>
      </c>
      <c r="D2681" s="1">
        <f>IFERROR(__xludf.DUMMYFUNCTION("""COMPUTED_VALUE"""),134.88)</f>
        <v>134.88</v>
      </c>
      <c r="E2681" s="1">
        <f>IFERROR(__xludf.DUMMYFUNCTION("""COMPUTED_VALUE"""),135.38)</f>
        <v>135.38</v>
      </c>
      <c r="F2681" s="1">
        <f>IFERROR(__xludf.DUMMYFUNCTION("""COMPUTED_VALUE"""),214467.0)</f>
        <v>214467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IFERROR(__xludf.DUMMYFUNCTION("""COMPUTED_VALUE"""),135.18)</f>
        <v>135.18</v>
      </c>
      <c r="C2682" s="1">
        <f>IFERROR(__xludf.DUMMYFUNCTION("""COMPUTED_VALUE"""),137.54)</f>
        <v>137.54</v>
      </c>
      <c r="D2682" s="1">
        <f>IFERROR(__xludf.DUMMYFUNCTION("""COMPUTED_VALUE"""),131.38)</f>
        <v>131.38</v>
      </c>
      <c r="E2682" s="1">
        <f>IFERROR(__xludf.DUMMYFUNCTION("""COMPUTED_VALUE"""),132.51)</f>
        <v>132.51</v>
      </c>
      <c r="F2682" s="1">
        <f>IFERROR(__xludf.DUMMYFUNCTION("""COMPUTED_VALUE"""),638091.0)</f>
        <v>638091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IFERROR(__xludf.DUMMYFUNCTION("""COMPUTED_VALUE"""),132.84)</f>
        <v>132.84</v>
      </c>
      <c r="C2683" s="1">
        <f>IFERROR(__xludf.DUMMYFUNCTION("""COMPUTED_VALUE"""),138.08)</f>
        <v>138.08</v>
      </c>
      <c r="D2683" s="1">
        <f>IFERROR(__xludf.DUMMYFUNCTION("""COMPUTED_VALUE"""),132.84)</f>
        <v>132.84</v>
      </c>
      <c r="E2683" s="1">
        <f>IFERROR(__xludf.DUMMYFUNCTION("""COMPUTED_VALUE"""),135.87)</f>
        <v>135.87</v>
      </c>
      <c r="F2683" s="1">
        <f>IFERROR(__xludf.DUMMYFUNCTION("""COMPUTED_VALUE"""),131083.0)</f>
        <v>131083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IFERROR(__xludf.DUMMYFUNCTION("""COMPUTED_VALUE"""),136.45)</f>
        <v>136.45</v>
      </c>
      <c r="C2684" s="1">
        <f>IFERROR(__xludf.DUMMYFUNCTION("""COMPUTED_VALUE"""),137.58)</f>
        <v>137.58</v>
      </c>
      <c r="D2684" s="1">
        <f>IFERROR(__xludf.DUMMYFUNCTION("""COMPUTED_VALUE"""),133.01)</f>
        <v>133.01</v>
      </c>
      <c r="E2684" s="1">
        <f>IFERROR(__xludf.DUMMYFUNCTION("""COMPUTED_VALUE"""),137.23)</f>
        <v>137.23</v>
      </c>
      <c r="F2684" s="1">
        <f>IFERROR(__xludf.DUMMYFUNCTION("""COMPUTED_VALUE"""),78111.0)</f>
        <v>78111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IFERROR(__xludf.DUMMYFUNCTION("""COMPUTED_VALUE"""),136.72)</f>
        <v>136.72</v>
      </c>
      <c r="C2685" s="1">
        <f>IFERROR(__xludf.DUMMYFUNCTION("""COMPUTED_VALUE"""),138.92)</f>
        <v>138.92</v>
      </c>
      <c r="D2685" s="1">
        <f>IFERROR(__xludf.DUMMYFUNCTION("""COMPUTED_VALUE"""),135.2)</f>
        <v>135.2</v>
      </c>
      <c r="E2685" s="1">
        <f>IFERROR(__xludf.DUMMYFUNCTION("""COMPUTED_VALUE"""),135.95)</f>
        <v>135.95</v>
      </c>
      <c r="F2685" s="1">
        <f>IFERROR(__xludf.DUMMYFUNCTION("""COMPUTED_VALUE"""),99571.0)</f>
        <v>99571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IFERROR(__xludf.DUMMYFUNCTION("""COMPUTED_VALUE"""),135.81)</f>
        <v>135.81</v>
      </c>
      <c r="C2686" s="1">
        <f>IFERROR(__xludf.DUMMYFUNCTION("""COMPUTED_VALUE"""),136.91)</f>
        <v>136.91</v>
      </c>
      <c r="D2686" s="1">
        <f>IFERROR(__xludf.DUMMYFUNCTION("""COMPUTED_VALUE"""),134.19)</f>
        <v>134.19</v>
      </c>
      <c r="E2686" s="1">
        <f>IFERROR(__xludf.DUMMYFUNCTION("""COMPUTED_VALUE"""),135.42)</f>
        <v>135.42</v>
      </c>
      <c r="F2686" s="1">
        <f>IFERROR(__xludf.DUMMYFUNCTION("""COMPUTED_VALUE"""),72848.0)</f>
        <v>72848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IFERROR(__xludf.DUMMYFUNCTION("""COMPUTED_VALUE"""),135.58)</f>
        <v>135.58</v>
      </c>
      <c r="C2687" s="1">
        <f>IFERROR(__xludf.DUMMYFUNCTION("""COMPUTED_VALUE"""),139.11)</f>
        <v>139.11</v>
      </c>
      <c r="D2687" s="1">
        <f>IFERROR(__xludf.DUMMYFUNCTION("""COMPUTED_VALUE"""),135.01)</f>
        <v>135.01</v>
      </c>
      <c r="E2687" s="1">
        <f>IFERROR(__xludf.DUMMYFUNCTION("""COMPUTED_VALUE"""),138.89)</f>
        <v>138.89</v>
      </c>
      <c r="F2687" s="1">
        <f>IFERROR(__xludf.DUMMYFUNCTION("""COMPUTED_VALUE"""),79371.0)</f>
        <v>79371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IFERROR(__xludf.DUMMYFUNCTION("""COMPUTED_VALUE"""),139.5)</f>
        <v>139.5</v>
      </c>
      <c r="C2688" s="1">
        <f>IFERROR(__xludf.DUMMYFUNCTION("""COMPUTED_VALUE"""),142.69)</f>
        <v>142.69</v>
      </c>
      <c r="D2688" s="1">
        <f>IFERROR(__xludf.DUMMYFUNCTION("""COMPUTED_VALUE"""),138.41)</f>
        <v>138.41</v>
      </c>
      <c r="E2688" s="1">
        <f>IFERROR(__xludf.DUMMYFUNCTION("""COMPUTED_VALUE"""),139.87)</f>
        <v>139.87</v>
      </c>
      <c r="F2688" s="1">
        <f>IFERROR(__xludf.DUMMYFUNCTION("""COMPUTED_VALUE"""),136825.0)</f>
        <v>136825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IFERROR(__xludf.DUMMYFUNCTION("""COMPUTED_VALUE"""),141.47)</f>
        <v>141.47</v>
      </c>
      <c r="C2689" s="1">
        <f>IFERROR(__xludf.DUMMYFUNCTION("""COMPUTED_VALUE"""),142.94)</f>
        <v>142.94</v>
      </c>
      <c r="D2689" s="1">
        <f>IFERROR(__xludf.DUMMYFUNCTION("""COMPUTED_VALUE"""),139.68)</f>
        <v>139.68</v>
      </c>
      <c r="E2689" s="1">
        <f>IFERROR(__xludf.DUMMYFUNCTION("""COMPUTED_VALUE"""),142.24)</f>
        <v>142.24</v>
      </c>
      <c r="F2689" s="1">
        <f>IFERROR(__xludf.DUMMYFUNCTION("""COMPUTED_VALUE"""),106218.0)</f>
        <v>106218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IFERROR(__xludf.DUMMYFUNCTION("""COMPUTED_VALUE"""),140.56)</f>
        <v>140.56</v>
      </c>
      <c r="C2690" s="1">
        <f>IFERROR(__xludf.DUMMYFUNCTION("""COMPUTED_VALUE"""),141.77)</f>
        <v>141.77</v>
      </c>
      <c r="D2690" s="1">
        <f>IFERROR(__xludf.DUMMYFUNCTION("""COMPUTED_VALUE"""),139.02)</f>
        <v>139.02</v>
      </c>
      <c r="E2690" s="1">
        <f>IFERROR(__xludf.DUMMYFUNCTION("""COMPUTED_VALUE"""),139.91)</f>
        <v>139.91</v>
      </c>
      <c r="F2690" s="1">
        <f>IFERROR(__xludf.DUMMYFUNCTION("""COMPUTED_VALUE"""),117700.0)</f>
        <v>117700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IFERROR(__xludf.DUMMYFUNCTION("""COMPUTED_VALUE"""),140.39)</f>
        <v>140.39</v>
      </c>
      <c r="C2691" s="1">
        <f>IFERROR(__xludf.DUMMYFUNCTION("""COMPUTED_VALUE"""),142.62)</f>
        <v>142.62</v>
      </c>
      <c r="D2691" s="1">
        <f>IFERROR(__xludf.DUMMYFUNCTION("""COMPUTED_VALUE"""),138.36)</f>
        <v>138.36</v>
      </c>
      <c r="E2691" s="1">
        <f>IFERROR(__xludf.DUMMYFUNCTION("""COMPUTED_VALUE"""),138.87)</f>
        <v>138.87</v>
      </c>
      <c r="F2691" s="1">
        <f>IFERROR(__xludf.DUMMYFUNCTION("""COMPUTED_VALUE"""),97328.0)</f>
        <v>97328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IFERROR(__xludf.DUMMYFUNCTION("""COMPUTED_VALUE"""),139.03)</f>
        <v>139.03</v>
      </c>
      <c r="C2692" s="1">
        <f>IFERROR(__xludf.DUMMYFUNCTION("""COMPUTED_VALUE"""),139.17)</f>
        <v>139.17</v>
      </c>
      <c r="D2692" s="1">
        <f>IFERROR(__xludf.DUMMYFUNCTION("""COMPUTED_VALUE"""),136.23)</f>
        <v>136.23</v>
      </c>
      <c r="E2692" s="1">
        <f>IFERROR(__xludf.DUMMYFUNCTION("""COMPUTED_VALUE"""),136.26)</f>
        <v>136.26</v>
      </c>
      <c r="F2692" s="1">
        <f>IFERROR(__xludf.DUMMYFUNCTION("""COMPUTED_VALUE"""),92404.0)</f>
        <v>92404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IFERROR(__xludf.DUMMYFUNCTION("""COMPUTED_VALUE"""),136.48)</f>
        <v>136.48</v>
      </c>
      <c r="C2693" s="1">
        <f>IFERROR(__xludf.DUMMYFUNCTION("""COMPUTED_VALUE"""),137.06)</f>
        <v>137.06</v>
      </c>
      <c r="D2693" s="1">
        <f>IFERROR(__xludf.DUMMYFUNCTION("""COMPUTED_VALUE"""),133.71)</f>
        <v>133.71</v>
      </c>
      <c r="E2693" s="1">
        <f>IFERROR(__xludf.DUMMYFUNCTION("""COMPUTED_VALUE"""),134.65)</f>
        <v>134.65</v>
      </c>
      <c r="F2693" s="1">
        <f>IFERROR(__xludf.DUMMYFUNCTION("""COMPUTED_VALUE"""),87738.0)</f>
        <v>87738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IFERROR(__xludf.DUMMYFUNCTION("""COMPUTED_VALUE"""),135.45)</f>
        <v>135.45</v>
      </c>
      <c r="C2694" s="1">
        <f>IFERROR(__xludf.DUMMYFUNCTION("""COMPUTED_VALUE"""),138.1)</f>
        <v>138.1</v>
      </c>
      <c r="D2694" s="1">
        <f>IFERROR(__xludf.DUMMYFUNCTION("""COMPUTED_VALUE"""),134.43)</f>
        <v>134.43</v>
      </c>
      <c r="E2694" s="1">
        <f>IFERROR(__xludf.DUMMYFUNCTION("""COMPUTED_VALUE"""),135.9)</f>
        <v>135.9</v>
      </c>
      <c r="F2694" s="1">
        <f>IFERROR(__xludf.DUMMYFUNCTION("""COMPUTED_VALUE"""),70131.0)</f>
        <v>70131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IFERROR(__xludf.DUMMYFUNCTION("""COMPUTED_VALUE"""),136.24)</f>
        <v>136.24</v>
      </c>
      <c r="C2695" s="1">
        <f>IFERROR(__xludf.DUMMYFUNCTION("""COMPUTED_VALUE"""),137.62)</f>
        <v>137.62</v>
      </c>
      <c r="D2695" s="1">
        <f>IFERROR(__xludf.DUMMYFUNCTION("""COMPUTED_VALUE"""),135.49)</f>
        <v>135.49</v>
      </c>
      <c r="E2695" s="1">
        <f>IFERROR(__xludf.DUMMYFUNCTION("""COMPUTED_VALUE"""),135.88)</f>
        <v>135.88</v>
      </c>
      <c r="F2695" s="1">
        <f>IFERROR(__xludf.DUMMYFUNCTION("""COMPUTED_VALUE"""),72523.0)</f>
        <v>72523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IFERROR(__xludf.DUMMYFUNCTION("""COMPUTED_VALUE"""),135.16)</f>
        <v>135.16</v>
      </c>
      <c r="C2696" s="1">
        <f>IFERROR(__xludf.DUMMYFUNCTION("""COMPUTED_VALUE"""),137.33)</f>
        <v>137.33</v>
      </c>
      <c r="D2696" s="1">
        <f>IFERROR(__xludf.DUMMYFUNCTION("""COMPUTED_VALUE"""),135.1)</f>
        <v>135.1</v>
      </c>
      <c r="E2696" s="1">
        <f>IFERROR(__xludf.DUMMYFUNCTION("""COMPUTED_VALUE"""),135.76)</f>
        <v>135.76</v>
      </c>
      <c r="F2696" s="1">
        <f>IFERROR(__xludf.DUMMYFUNCTION("""COMPUTED_VALUE"""),138886.0)</f>
        <v>138886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IFERROR(__xludf.DUMMYFUNCTION("""COMPUTED_VALUE"""),134.56)</f>
        <v>134.56</v>
      </c>
      <c r="C2697" s="1">
        <f>IFERROR(__xludf.DUMMYFUNCTION("""COMPUTED_VALUE"""),136.22)</f>
        <v>136.22</v>
      </c>
      <c r="D2697" s="1">
        <f>IFERROR(__xludf.DUMMYFUNCTION("""COMPUTED_VALUE"""),133.65)</f>
        <v>133.65</v>
      </c>
      <c r="E2697" s="1">
        <f>IFERROR(__xludf.DUMMYFUNCTION("""COMPUTED_VALUE"""),134.56)</f>
        <v>134.56</v>
      </c>
      <c r="F2697" s="1">
        <f>IFERROR(__xludf.DUMMYFUNCTION("""COMPUTED_VALUE"""),112741.0)</f>
        <v>112741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IFERROR(__xludf.DUMMYFUNCTION("""COMPUTED_VALUE"""),135.69)</f>
        <v>135.69</v>
      </c>
      <c r="C2698" s="1">
        <f>IFERROR(__xludf.DUMMYFUNCTION("""COMPUTED_VALUE"""),136.26)</f>
        <v>136.26</v>
      </c>
      <c r="D2698" s="1">
        <f>IFERROR(__xludf.DUMMYFUNCTION("""COMPUTED_VALUE"""),131.4)</f>
        <v>131.4</v>
      </c>
      <c r="E2698" s="1">
        <f>IFERROR(__xludf.DUMMYFUNCTION("""COMPUTED_VALUE"""),132.13)</f>
        <v>132.13</v>
      </c>
      <c r="F2698" s="1">
        <f>IFERROR(__xludf.DUMMYFUNCTION("""COMPUTED_VALUE"""),240087.0)</f>
        <v>240087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IFERROR(__xludf.DUMMYFUNCTION("""COMPUTED_VALUE"""),129.85)</f>
        <v>129.85</v>
      </c>
      <c r="C2699" s="1">
        <f>IFERROR(__xludf.DUMMYFUNCTION("""COMPUTED_VALUE"""),129.85)</f>
        <v>129.85</v>
      </c>
      <c r="D2699" s="1">
        <f>IFERROR(__xludf.DUMMYFUNCTION("""COMPUTED_VALUE"""),126.03)</f>
        <v>126.03</v>
      </c>
      <c r="E2699" s="1">
        <f>IFERROR(__xludf.DUMMYFUNCTION("""COMPUTED_VALUE"""),127.73)</f>
        <v>127.73</v>
      </c>
      <c r="F2699" s="1">
        <f>IFERROR(__xludf.DUMMYFUNCTION("""COMPUTED_VALUE"""),159103.0)</f>
        <v>159103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IFERROR(__xludf.DUMMYFUNCTION("""COMPUTED_VALUE"""),127.34)</f>
        <v>127.34</v>
      </c>
      <c r="C2700" s="1">
        <f>IFERROR(__xludf.DUMMYFUNCTION("""COMPUTED_VALUE"""),128.04)</f>
        <v>128.04</v>
      </c>
      <c r="D2700" s="1">
        <f>IFERROR(__xludf.DUMMYFUNCTION("""COMPUTED_VALUE"""),124.9)</f>
        <v>124.9</v>
      </c>
      <c r="E2700" s="1">
        <f>IFERROR(__xludf.DUMMYFUNCTION("""COMPUTED_VALUE"""),125.63)</f>
        <v>125.63</v>
      </c>
      <c r="F2700" s="1">
        <f>IFERROR(__xludf.DUMMYFUNCTION("""COMPUTED_VALUE"""),264434.0)</f>
        <v>264434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IFERROR(__xludf.DUMMYFUNCTION("""COMPUTED_VALUE"""),125.73)</f>
        <v>125.73</v>
      </c>
      <c r="C2701" s="1">
        <f>IFERROR(__xludf.DUMMYFUNCTION("""COMPUTED_VALUE"""),128.5)</f>
        <v>128.5</v>
      </c>
      <c r="D2701" s="1">
        <f>IFERROR(__xludf.DUMMYFUNCTION("""COMPUTED_VALUE"""),125.73)</f>
        <v>125.73</v>
      </c>
      <c r="E2701" s="1">
        <f>IFERROR(__xludf.DUMMYFUNCTION("""COMPUTED_VALUE"""),127.03)</f>
        <v>127.03</v>
      </c>
      <c r="F2701" s="1">
        <f>IFERROR(__xludf.DUMMYFUNCTION("""COMPUTED_VALUE"""),678360.0)</f>
        <v>678360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IFERROR(__xludf.DUMMYFUNCTION("""COMPUTED_VALUE"""),127.48)</f>
        <v>127.48</v>
      </c>
      <c r="C2702" s="1">
        <f>IFERROR(__xludf.DUMMYFUNCTION("""COMPUTED_VALUE"""),130.31)</f>
        <v>130.31</v>
      </c>
      <c r="D2702" s="1">
        <f>IFERROR(__xludf.DUMMYFUNCTION("""COMPUTED_VALUE"""),126.42)</f>
        <v>126.42</v>
      </c>
      <c r="E2702" s="1">
        <f>IFERROR(__xludf.DUMMYFUNCTION("""COMPUTED_VALUE"""),128.04)</f>
        <v>128.04</v>
      </c>
      <c r="F2702" s="1">
        <f>IFERROR(__xludf.DUMMYFUNCTION("""COMPUTED_VALUE"""),151184.0)</f>
        <v>151184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IFERROR(__xludf.DUMMYFUNCTION("""COMPUTED_VALUE"""),127.27)</f>
        <v>127.27</v>
      </c>
      <c r="C2703" s="1">
        <f>IFERROR(__xludf.DUMMYFUNCTION("""COMPUTED_VALUE"""),129.34)</f>
        <v>129.34</v>
      </c>
      <c r="D2703" s="1">
        <f>IFERROR(__xludf.DUMMYFUNCTION("""COMPUTED_VALUE"""),126.44)</f>
        <v>126.44</v>
      </c>
      <c r="E2703" s="1">
        <f>IFERROR(__xludf.DUMMYFUNCTION("""COMPUTED_VALUE"""),128.89)</f>
        <v>128.89</v>
      </c>
      <c r="F2703" s="1">
        <f>IFERROR(__xludf.DUMMYFUNCTION("""COMPUTED_VALUE"""),120407.0)</f>
        <v>120407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IFERROR(__xludf.DUMMYFUNCTION("""COMPUTED_VALUE"""),129.85)</f>
        <v>129.85</v>
      </c>
      <c r="C2704" s="1">
        <f>IFERROR(__xludf.DUMMYFUNCTION("""COMPUTED_VALUE"""),131.79)</f>
        <v>131.79</v>
      </c>
      <c r="D2704" s="1">
        <f>IFERROR(__xludf.DUMMYFUNCTION("""COMPUTED_VALUE"""),129.79)</f>
        <v>129.79</v>
      </c>
      <c r="E2704" s="1">
        <f>IFERROR(__xludf.DUMMYFUNCTION("""COMPUTED_VALUE"""),130.38)</f>
        <v>130.38</v>
      </c>
      <c r="F2704" s="1">
        <f>IFERROR(__xludf.DUMMYFUNCTION("""COMPUTED_VALUE"""),109265.0)</f>
        <v>109265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IFERROR(__xludf.DUMMYFUNCTION("""COMPUTED_VALUE"""),130.6)</f>
        <v>130.6</v>
      </c>
      <c r="C2705" s="1">
        <f>IFERROR(__xludf.DUMMYFUNCTION("""COMPUTED_VALUE"""),130.6)</f>
        <v>130.6</v>
      </c>
      <c r="D2705" s="1">
        <f>IFERROR(__xludf.DUMMYFUNCTION("""COMPUTED_VALUE"""),128.92)</f>
        <v>128.92</v>
      </c>
      <c r="E2705" s="1">
        <f>IFERROR(__xludf.DUMMYFUNCTION("""COMPUTED_VALUE"""),129.35)</f>
        <v>129.35</v>
      </c>
      <c r="F2705" s="1">
        <f>IFERROR(__xludf.DUMMYFUNCTION("""COMPUTED_VALUE"""),70880.0)</f>
        <v>70880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IFERROR(__xludf.DUMMYFUNCTION("""COMPUTED_VALUE"""),130.26)</f>
        <v>130.26</v>
      </c>
      <c r="C2706" s="1">
        <f>IFERROR(__xludf.DUMMYFUNCTION("""COMPUTED_VALUE"""),131.93)</f>
        <v>131.93</v>
      </c>
      <c r="D2706" s="1">
        <f>IFERROR(__xludf.DUMMYFUNCTION("""COMPUTED_VALUE"""),129.46)</f>
        <v>129.46</v>
      </c>
      <c r="E2706" s="1">
        <f>IFERROR(__xludf.DUMMYFUNCTION("""COMPUTED_VALUE"""),130.39)</f>
        <v>130.39</v>
      </c>
      <c r="F2706" s="1">
        <f>IFERROR(__xludf.DUMMYFUNCTION("""COMPUTED_VALUE"""),114770.0)</f>
        <v>114770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IFERROR(__xludf.DUMMYFUNCTION("""COMPUTED_VALUE"""),130.73)</f>
        <v>130.73</v>
      </c>
      <c r="C2707" s="1">
        <f>IFERROR(__xludf.DUMMYFUNCTION("""COMPUTED_VALUE"""),132.5)</f>
        <v>132.5</v>
      </c>
      <c r="D2707" s="1">
        <f>IFERROR(__xludf.DUMMYFUNCTION("""COMPUTED_VALUE"""),130.25)</f>
        <v>130.25</v>
      </c>
      <c r="E2707" s="1">
        <f>IFERROR(__xludf.DUMMYFUNCTION("""COMPUTED_VALUE"""),131.91)</f>
        <v>131.91</v>
      </c>
      <c r="F2707" s="1">
        <f>IFERROR(__xludf.DUMMYFUNCTION("""COMPUTED_VALUE"""),108735.0)</f>
        <v>108735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IFERROR(__xludf.DUMMYFUNCTION("""COMPUTED_VALUE"""),130.31)</f>
        <v>130.31</v>
      </c>
      <c r="C2708" s="1">
        <f>IFERROR(__xludf.DUMMYFUNCTION("""COMPUTED_VALUE"""),133.51)</f>
        <v>133.51</v>
      </c>
      <c r="D2708" s="1">
        <f>IFERROR(__xludf.DUMMYFUNCTION("""COMPUTED_VALUE"""),129.28)</f>
        <v>129.28</v>
      </c>
      <c r="E2708" s="1">
        <f>IFERROR(__xludf.DUMMYFUNCTION("""COMPUTED_VALUE"""),132.53)</f>
        <v>132.53</v>
      </c>
      <c r="F2708" s="1">
        <f>IFERROR(__xludf.DUMMYFUNCTION("""COMPUTED_VALUE"""),123871.0)</f>
        <v>123871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IFERROR(__xludf.DUMMYFUNCTION("""COMPUTED_VALUE"""),133.52)</f>
        <v>133.52</v>
      </c>
      <c r="C2709" s="1">
        <f>IFERROR(__xludf.DUMMYFUNCTION("""COMPUTED_VALUE"""),133.52)</f>
        <v>133.52</v>
      </c>
      <c r="D2709" s="1">
        <f>IFERROR(__xludf.DUMMYFUNCTION("""COMPUTED_VALUE"""),131.74)</f>
        <v>131.74</v>
      </c>
      <c r="E2709" s="1">
        <f>IFERROR(__xludf.DUMMYFUNCTION("""COMPUTED_VALUE"""),132.93)</f>
        <v>132.93</v>
      </c>
      <c r="F2709" s="1">
        <f>IFERROR(__xludf.DUMMYFUNCTION("""COMPUTED_VALUE"""),69312.0)</f>
        <v>69312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IFERROR(__xludf.DUMMYFUNCTION("""COMPUTED_VALUE"""),133.97)</f>
        <v>133.97</v>
      </c>
      <c r="C2710" s="1">
        <f>IFERROR(__xludf.DUMMYFUNCTION("""COMPUTED_VALUE"""),134.85)</f>
        <v>134.85</v>
      </c>
      <c r="D2710" s="1">
        <f>IFERROR(__xludf.DUMMYFUNCTION("""COMPUTED_VALUE"""),131.81)</f>
        <v>131.81</v>
      </c>
      <c r="E2710" s="1">
        <f>IFERROR(__xludf.DUMMYFUNCTION("""COMPUTED_VALUE"""),132.82)</f>
        <v>132.82</v>
      </c>
      <c r="F2710" s="1">
        <f>IFERROR(__xludf.DUMMYFUNCTION("""COMPUTED_VALUE"""),99171.0)</f>
        <v>99171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IFERROR(__xludf.DUMMYFUNCTION("""COMPUTED_VALUE"""),133.57)</f>
        <v>133.57</v>
      </c>
      <c r="C2711" s="1">
        <f>IFERROR(__xludf.DUMMYFUNCTION("""COMPUTED_VALUE"""),134.4)</f>
        <v>134.4</v>
      </c>
      <c r="D2711" s="1">
        <f>IFERROR(__xludf.DUMMYFUNCTION("""COMPUTED_VALUE"""),131.53)</f>
        <v>131.53</v>
      </c>
      <c r="E2711" s="1">
        <f>IFERROR(__xludf.DUMMYFUNCTION("""COMPUTED_VALUE"""),133.85)</f>
        <v>133.85</v>
      </c>
      <c r="F2711" s="1">
        <f>IFERROR(__xludf.DUMMYFUNCTION("""COMPUTED_VALUE"""),105671.0)</f>
        <v>105671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IFERROR(__xludf.DUMMYFUNCTION("""COMPUTED_VALUE"""),134.84)</f>
        <v>134.84</v>
      </c>
      <c r="C2712" s="1">
        <f>IFERROR(__xludf.DUMMYFUNCTION("""COMPUTED_VALUE"""),134.84)</f>
        <v>134.84</v>
      </c>
      <c r="D2712" s="1">
        <f>IFERROR(__xludf.DUMMYFUNCTION("""COMPUTED_VALUE"""),132.14)</f>
        <v>132.14</v>
      </c>
      <c r="E2712" s="1">
        <f>IFERROR(__xludf.DUMMYFUNCTION("""COMPUTED_VALUE"""),133.83)</f>
        <v>133.83</v>
      </c>
      <c r="F2712" s="1">
        <f>IFERROR(__xludf.DUMMYFUNCTION("""COMPUTED_VALUE"""),115547.0)</f>
        <v>115547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IFERROR(__xludf.DUMMYFUNCTION("""COMPUTED_VALUE"""),134.38)</f>
        <v>134.38</v>
      </c>
      <c r="C2713" s="1">
        <f>IFERROR(__xludf.DUMMYFUNCTION("""COMPUTED_VALUE"""),135.49)</f>
        <v>135.49</v>
      </c>
      <c r="D2713" s="1">
        <f>IFERROR(__xludf.DUMMYFUNCTION("""COMPUTED_VALUE"""),132.55)</f>
        <v>132.55</v>
      </c>
      <c r="E2713" s="1">
        <f>IFERROR(__xludf.DUMMYFUNCTION("""COMPUTED_VALUE"""),133.32)</f>
        <v>133.32</v>
      </c>
      <c r="F2713" s="1">
        <f>IFERROR(__xludf.DUMMYFUNCTION("""COMPUTED_VALUE"""),59070.0)</f>
        <v>59070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IFERROR(__xludf.DUMMYFUNCTION("""COMPUTED_VALUE"""),133.79)</f>
        <v>133.79</v>
      </c>
      <c r="C2714" s="1">
        <f>IFERROR(__xludf.DUMMYFUNCTION("""COMPUTED_VALUE"""),134.17)</f>
        <v>134.17</v>
      </c>
      <c r="D2714" s="1">
        <f>IFERROR(__xludf.DUMMYFUNCTION("""COMPUTED_VALUE"""),132.81)</f>
        <v>132.81</v>
      </c>
      <c r="E2714" s="1">
        <f>IFERROR(__xludf.DUMMYFUNCTION("""COMPUTED_VALUE"""),133.53)</f>
        <v>133.53</v>
      </c>
      <c r="F2714" s="1">
        <f>IFERROR(__xludf.DUMMYFUNCTION("""COMPUTED_VALUE"""),70255.0)</f>
        <v>70255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IFERROR(__xludf.DUMMYFUNCTION("""COMPUTED_VALUE"""),132.93)</f>
        <v>132.93</v>
      </c>
      <c r="C2715" s="1">
        <f>IFERROR(__xludf.DUMMYFUNCTION("""COMPUTED_VALUE"""),133.34)</f>
        <v>133.34</v>
      </c>
      <c r="D2715" s="1">
        <f>IFERROR(__xludf.DUMMYFUNCTION("""COMPUTED_VALUE"""),130.59)</f>
        <v>130.59</v>
      </c>
      <c r="E2715" s="1">
        <f>IFERROR(__xludf.DUMMYFUNCTION("""COMPUTED_VALUE"""),131.82)</f>
        <v>131.82</v>
      </c>
      <c r="F2715" s="1">
        <f>IFERROR(__xludf.DUMMYFUNCTION("""COMPUTED_VALUE"""),89854.0)</f>
        <v>89854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IFERROR(__xludf.DUMMYFUNCTION("""COMPUTED_VALUE"""),131.75)</f>
        <v>131.75</v>
      </c>
      <c r="C2716" s="1">
        <f>IFERROR(__xludf.DUMMYFUNCTION("""COMPUTED_VALUE"""),133.0)</f>
        <v>133</v>
      </c>
      <c r="D2716" s="1">
        <f>IFERROR(__xludf.DUMMYFUNCTION("""COMPUTED_VALUE"""),129.62)</f>
        <v>129.62</v>
      </c>
      <c r="E2716" s="1">
        <f>IFERROR(__xludf.DUMMYFUNCTION("""COMPUTED_VALUE"""),131.39)</f>
        <v>131.39</v>
      </c>
      <c r="F2716" s="1">
        <f>IFERROR(__xludf.DUMMYFUNCTION("""COMPUTED_VALUE"""),83016.0)</f>
        <v>83016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IFERROR(__xludf.DUMMYFUNCTION("""COMPUTED_VALUE"""),130.47)</f>
        <v>130.47</v>
      </c>
      <c r="C2717" s="1">
        <f>IFERROR(__xludf.DUMMYFUNCTION("""COMPUTED_VALUE"""),132.9)</f>
        <v>132.9</v>
      </c>
      <c r="D2717" s="1">
        <f>IFERROR(__xludf.DUMMYFUNCTION("""COMPUTED_VALUE"""),129.73)</f>
        <v>129.73</v>
      </c>
      <c r="E2717" s="1">
        <f>IFERROR(__xludf.DUMMYFUNCTION("""COMPUTED_VALUE"""),131.8)</f>
        <v>131.8</v>
      </c>
      <c r="F2717" s="1">
        <f>IFERROR(__xludf.DUMMYFUNCTION("""COMPUTED_VALUE"""),91586.0)</f>
        <v>91586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IFERROR(__xludf.DUMMYFUNCTION("""COMPUTED_VALUE"""),131.5)</f>
        <v>131.5</v>
      </c>
      <c r="C2718" s="1">
        <f>IFERROR(__xludf.DUMMYFUNCTION("""COMPUTED_VALUE"""),132.25)</f>
        <v>132.25</v>
      </c>
      <c r="D2718" s="1">
        <f>IFERROR(__xludf.DUMMYFUNCTION("""COMPUTED_VALUE"""),130.66)</f>
        <v>130.66</v>
      </c>
      <c r="E2718" s="1">
        <f>IFERROR(__xludf.DUMMYFUNCTION("""COMPUTED_VALUE"""),131.07)</f>
        <v>131.07</v>
      </c>
      <c r="F2718" s="1">
        <f>IFERROR(__xludf.DUMMYFUNCTION("""COMPUTED_VALUE"""),71033.0)</f>
        <v>71033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IFERROR(__xludf.DUMMYFUNCTION("""COMPUTED_VALUE"""),131.71)</f>
        <v>131.71</v>
      </c>
      <c r="C2719" s="1">
        <f>IFERROR(__xludf.DUMMYFUNCTION("""COMPUTED_VALUE"""),132.62)</f>
        <v>132.62</v>
      </c>
      <c r="D2719" s="1">
        <f>IFERROR(__xludf.DUMMYFUNCTION("""COMPUTED_VALUE"""),128.68)</f>
        <v>128.68</v>
      </c>
      <c r="E2719" s="1">
        <f>IFERROR(__xludf.DUMMYFUNCTION("""COMPUTED_VALUE"""),128.74)</f>
        <v>128.74</v>
      </c>
      <c r="F2719" s="1">
        <f>IFERROR(__xludf.DUMMYFUNCTION("""COMPUTED_VALUE"""),83260.0)</f>
        <v>83260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IFERROR(__xludf.DUMMYFUNCTION("""COMPUTED_VALUE"""),129.98)</f>
        <v>129.98</v>
      </c>
      <c r="C2720" s="1">
        <f>IFERROR(__xludf.DUMMYFUNCTION("""COMPUTED_VALUE"""),130.86)</f>
        <v>130.86</v>
      </c>
      <c r="D2720" s="1">
        <f>IFERROR(__xludf.DUMMYFUNCTION("""COMPUTED_VALUE"""),128.1)</f>
        <v>128.1</v>
      </c>
      <c r="E2720" s="1">
        <f>IFERROR(__xludf.DUMMYFUNCTION("""COMPUTED_VALUE"""),129.68)</f>
        <v>129.68</v>
      </c>
      <c r="F2720" s="1">
        <f>IFERROR(__xludf.DUMMYFUNCTION("""COMPUTED_VALUE"""),87448.0)</f>
        <v>87448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IFERROR(__xludf.DUMMYFUNCTION("""COMPUTED_VALUE"""),129.88)</f>
        <v>129.88</v>
      </c>
      <c r="C2721" s="1">
        <f>IFERROR(__xludf.DUMMYFUNCTION("""COMPUTED_VALUE"""),132.23)</f>
        <v>132.23</v>
      </c>
      <c r="D2721" s="1">
        <f>IFERROR(__xludf.DUMMYFUNCTION("""COMPUTED_VALUE"""),129.88)</f>
        <v>129.88</v>
      </c>
      <c r="E2721" s="1">
        <f>IFERROR(__xludf.DUMMYFUNCTION("""COMPUTED_VALUE"""),131.57)</f>
        <v>131.57</v>
      </c>
      <c r="F2721" s="1">
        <f>IFERROR(__xludf.DUMMYFUNCTION("""COMPUTED_VALUE"""),54707.0)</f>
        <v>54707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IFERROR(__xludf.DUMMYFUNCTION("""COMPUTED_VALUE"""),132.12)</f>
        <v>132.12</v>
      </c>
      <c r="C2722" s="1">
        <f>IFERROR(__xludf.DUMMYFUNCTION("""COMPUTED_VALUE"""),135.01)</f>
        <v>135.01</v>
      </c>
      <c r="D2722" s="1">
        <f>IFERROR(__xludf.DUMMYFUNCTION("""COMPUTED_VALUE"""),131.86)</f>
        <v>131.86</v>
      </c>
      <c r="E2722" s="1">
        <f>IFERROR(__xludf.DUMMYFUNCTION("""COMPUTED_VALUE"""),134.98)</f>
        <v>134.98</v>
      </c>
      <c r="F2722" s="1">
        <f>IFERROR(__xludf.DUMMYFUNCTION("""COMPUTED_VALUE"""),59862.0)</f>
        <v>59862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IFERROR(__xludf.DUMMYFUNCTION("""COMPUTED_VALUE"""),136.48)</f>
        <v>136.48</v>
      </c>
      <c r="C2723" s="1">
        <f>IFERROR(__xludf.DUMMYFUNCTION("""COMPUTED_VALUE"""),137.52)</f>
        <v>137.52</v>
      </c>
      <c r="D2723" s="1">
        <f>IFERROR(__xludf.DUMMYFUNCTION("""COMPUTED_VALUE"""),134.01)</f>
        <v>134.01</v>
      </c>
      <c r="E2723" s="1">
        <f>IFERROR(__xludf.DUMMYFUNCTION("""COMPUTED_VALUE"""),136.99)</f>
        <v>136.99</v>
      </c>
      <c r="F2723" s="1">
        <f>IFERROR(__xludf.DUMMYFUNCTION("""COMPUTED_VALUE"""),69730.0)</f>
        <v>69730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IFERROR(__xludf.DUMMYFUNCTION("""COMPUTED_VALUE"""),135.23)</f>
        <v>135.23</v>
      </c>
      <c r="C2724" s="1">
        <f>IFERROR(__xludf.DUMMYFUNCTION("""COMPUTED_VALUE"""),136.49)</f>
        <v>136.49</v>
      </c>
      <c r="D2724" s="1">
        <f>IFERROR(__xludf.DUMMYFUNCTION("""COMPUTED_VALUE"""),134.26)</f>
        <v>134.26</v>
      </c>
      <c r="E2724" s="1">
        <f>IFERROR(__xludf.DUMMYFUNCTION("""COMPUTED_VALUE"""),135.95)</f>
        <v>135.95</v>
      </c>
      <c r="F2724" s="1">
        <f>IFERROR(__xludf.DUMMYFUNCTION("""COMPUTED_VALUE"""),109142.0)</f>
        <v>109142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IFERROR(__xludf.DUMMYFUNCTION("""COMPUTED_VALUE"""),136.55)</f>
        <v>136.55</v>
      </c>
      <c r="C2725" s="1">
        <f>IFERROR(__xludf.DUMMYFUNCTION("""COMPUTED_VALUE"""),138.97)</f>
        <v>138.97</v>
      </c>
      <c r="D2725" s="1">
        <f>IFERROR(__xludf.DUMMYFUNCTION("""COMPUTED_VALUE"""),134.43)</f>
        <v>134.43</v>
      </c>
      <c r="E2725" s="1">
        <f>IFERROR(__xludf.DUMMYFUNCTION("""COMPUTED_VALUE"""),136.05)</f>
        <v>136.05</v>
      </c>
      <c r="F2725" s="1">
        <f>IFERROR(__xludf.DUMMYFUNCTION("""COMPUTED_VALUE"""),237923.0)</f>
        <v>237923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IFERROR(__xludf.DUMMYFUNCTION("""COMPUTED_VALUE"""),134.12)</f>
        <v>134.12</v>
      </c>
      <c r="C2726" s="1">
        <f>IFERROR(__xludf.DUMMYFUNCTION("""COMPUTED_VALUE"""),135.87)</f>
        <v>135.87</v>
      </c>
      <c r="D2726" s="1">
        <f>IFERROR(__xludf.DUMMYFUNCTION("""COMPUTED_VALUE"""),131.53)</f>
        <v>131.53</v>
      </c>
      <c r="E2726" s="1">
        <f>IFERROR(__xludf.DUMMYFUNCTION("""COMPUTED_VALUE"""),132.41)</f>
        <v>132.41</v>
      </c>
      <c r="F2726" s="1">
        <f>IFERROR(__xludf.DUMMYFUNCTION("""COMPUTED_VALUE"""),624927.0)</f>
        <v>624927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IFERROR(__xludf.DUMMYFUNCTION("""COMPUTED_VALUE"""),131.34)</f>
        <v>131.34</v>
      </c>
      <c r="C2727" s="1">
        <f>IFERROR(__xludf.DUMMYFUNCTION("""COMPUTED_VALUE"""),136.79)</f>
        <v>136.79</v>
      </c>
      <c r="D2727" s="1">
        <f>IFERROR(__xludf.DUMMYFUNCTION("""COMPUTED_VALUE"""),131.03)</f>
        <v>131.03</v>
      </c>
      <c r="E2727" s="1">
        <f>IFERROR(__xludf.DUMMYFUNCTION("""COMPUTED_VALUE"""),136.23)</f>
        <v>136.23</v>
      </c>
      <c r="F2727" s="1">
        <f>IFERROR(__xludf.DUMMYFUNCTION("""COMPUTED_VALUE"""),127646.0)</f>
        <v>127646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IFERROR(__xludf.DUMMYFUNCTION("""COMPUTED_VALUE"""),135.55)</f>
        <v>135.55</v>
      </c>
      <c r="C2728" s="1">
        <f>IFERROR(__xludf.DUMMYFUNCTION("""COMPUTED_VALUE"""),138.57)</f>
        <v>138.57</v>
      </c>
      <c r="D2728" s="1">
        <f>IFERROR(__xludf.DUMMYFUNCTION("""COMPUTED_VALUE"""),134.4)</f>
        <v>134.4</v>
      </c>
      <c r="E2728" s="1">
        <f>IFERROR(__xludf.DUMMYFUNCTION("""COMPUTED_VALUE"""),135.57)</f>
        <v>135.57</v>
      </c>
      <c r="F2728" s="1">
        <f>IFERROR(__xludf.DUMMYFUNCTION("""COMPUTED_VALUE"""),143993.0)</f>
        <v>143993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IFERROR(__xludf.DUMMYFUNCTION("""COMPUTED_VALUE"""),136.31)</f>
        <v>136.31</v>
      </c>
      <c r="C2729" s="1">
        <f>IFERROR(__xludf.DUMMYFUNCTION("""COMPUTED_VALUE"""),138.24)</f>
        <v>138.24</v>
      </c>
      <c r="D2729" s="1">
        <f>IFERROR(__xludf.DUMMYFUNCTION("""COMPUTED_VALUE"""),135.47)</f>
        <v>135.47</v>
      </c>
      <c r="E2729" s="1">
        <f>IFERROR(__xludf.DUMMYFUNCTION("""COMPUTED_VALUE"""),137.92)</f>
        <v>137.92</v>
      </c>
      <c r="F2729" s="1">
        <f>IFERROR(__xludf.DUMMYFUNCTION("""COMPUTED_VALUE"""),117688.0)</f>
        <v>117688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IFERROR(__xludf.DUMMYFUNCTION("""COMPUTED_VALUE"""),139.17)</f>
        <v>139.17</v>
      </c>
      <c r="C2730" s="1">
        <f>IFERROR(__xludf.DUMMYFUNCTION("""COMPUTED_VALUE"""),144.0)</f>
        <v>144</v>
      </c>
      <c r="D2730" s="1">
        <f>IFERROR(__xludf.DUMMYFUNCTION("""COMPUTED_VALUE"""),138.22)</f>
        <v>138.22</v>
      </c>
      <c r="E2730" s="1">
        <f>IFERROR(__xludf.DUMMYFUNCTION("""COMPUTED_VALUE"""),142.97)</f>
        <v>142.97</v>
      </c>
      <c r="F2730" s="1">
        <f>IFERROR(__xludf.DUMMYFUNCTION("""COMPUTED_VALUE"""),108890.0)</f>
        <v>108890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IFERROR(__xludf.DUMMYFUNCTION("""COMPUTED_VALUE"""),142.14)</f>
        <v>142.14</v>
      </c>
      <c r="C2731" s="1">
        <f>IFERROR(__xludf.DUMMYFUNCTION("""COMPUTED_VALUE"""),144.14)</f>
        <v>144.14</v>
      </c>
      <c r="D2731" s="1">
        <f>IFERROR(__xludf.DUMMYFUNCTION("""COMPUTED_VALUE"""),140.79)</f>
        <v>140.79</v>
      </c>
      <c r="E2731" s="1">
        <f>IFERROR(__xludf.DUMMYFUNCTION("""COMPUTED_VALUE"""),141.54)</f>
        <v>141.54</v>
      </c>
      <c r="F2731" s="1">
        <f>IFERROR(__xludf.DUMMYFUNCTION("""COMPUTED_VALUE"""),72938.0)</f>
        <v>72938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IFERROR(__xludf.DUMMYFUNCTION("""COMPUTED_VALUE"""),142.16)</f>
        <v>142.16</v>
      </c>
      <c r="C2732" s="1">
        <f>IFERROR(__xludf.DUMMYFUNCTION("""COMPUTED_VALUE"""),144.43)</f>
        <v>144.43</v>
      </c>
      <c r="D2732" s="1">
        <f>IFERROR(__xludf.DUMMYFUNCTION("""COMPUTED_VALUE"""),141.11)</f>
        <v>141.11</v>
      </c>
      <c r="E2732" s="1">
        <f>IFERROR(__xludf.DUMMYFUNCTION("""COMPUTED_VALUE"""),142.84)</f>
        <v>142.84</v>
      </c>
      <c r="F2732" s="1">
        <f>IFERROR(__xludf.DUMMYFUNCTION("""COMPUTED_VALUE"""),93332.0)</f>
        <v>93332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IFERROR(__xludf.DUMMYFUNCTION("""COMPUTED_VALUE"""),147.12)</f>
        <v>147.12</v>
      </c>
      <c r="C2733" s="1">
        <f>IFERROR(__xludf.DUMMYFUNCTION("""COMPUTED_VALUE"""),148.0)</f>
        <v>148</v>
      </c>
      <c r="D2733" s="1">
        <f>IFERROR(__xludf.DUMMYFUNCTION("""COMPUTED_VALUE"""),138.15)</f>
        <v>138.15</v>
      </c>
      <c r="E2733" s="1">
        <f>IFERROR(__xludf.DUMMYFUNCTION("""COMPUTED_VALUE"""),139.38)</f>
        <v>139.38</v>
      </c>
      <c r="F2733" s="1">
        <f>IFERROR(__xludf.DUMMYFUNCTION("""COMPUTED_VALUE"""),137400.0)</f>
        <v>137400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IFERROR(__xludf.DUMMYFUNCTION("""COMPUTED_VALUE"""),147.34)</f>
        <v>147.34</v>
      </c>
      <c r="C2734" s="1">
        <f>IFERROR(__xludf.DUMMYFUNCTION("""COMPUTED_VALUE"""),162.27)</f>
        <v>162.27</v>
      </c>
      <c r="D2734" s="1">
        <f>IFERROR(__xludf.DUMMYFUNCTION("""COMPUTED_VALUE"""),147.34)</f>
        <v>147.34</v>
      </c>
      <c r="E2734" s="1">
        <f>IFERROR(__xludf.DUMMYFUNCTION("""COMPUTED_VALUE"""),159.52)</f>
        <v>159.52</v>
      </c>
      <c r="F2734" s="1">
        <f>IFERROR(__xludf.DUMMYFUNCTION("""COMPUTED_VALUE"""),266558.0)</f>
        <v>266558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IFERROR(__xludf.DUMMYFUNCTION("""COMPUTED_VALUE"""),160.89)</f>
        <v>160.89</v>
      </c>
      <c r="C2735" s="1">
        <f>IFERROR(__xludf.DUMMYFUNCTION("""COMPUTED_VALUE"""),163.56)</f>
        <v>163.56</v>
      </c>
      <c r="D2735" s="1">
        <f>IFERROR(__xludf.DUMMYFUNCTION("""COMPUTED_VALUE"""),151.3)</f>
        <v>151.3</v>
      </c>
      <c r="E2735" s="1">
        <f>IFERROR(__xludf.DUMMYFUNCTION("""COMPUTED_VALUE"""),162.44)</f>
        <v>162.44</v>
      </c>
      <c r="F2735" s="1">
        <f>IFERROR(__xludf.DUMMYFUNCTION("""COMPUTED_VALUE"""),158374.0)</f>
        <v>158374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IFERROR(__xludf.DUMMYFUNCTION("""COMPUTED_VALUE"""),162.44)</f>
        <v>162.44</v>
      </c>
      <c r="C2736" s="1">
        <f>IFERROR(__xludf.DUMMYFUNCTION("""COMPUTED_VALUE"""),162.44)</f>
        <v>162.44</v>
      </c>
      <c r="D2736" s="1">
        <f>IFERROR(__xludf.DUMMYFUNCTION("""COMPUTED_VALUE"""),156.44)</f>
        <v>156.44</v>
      </c>
      <c r="E2736" s="1">
        <f>IFERROR(__xludf.DUMMYFUNCTION("""COMPUTED_VALUE"""),157.16)</f>
        <v>157.16</v>
      </c>
      <c r="F2736" s="1">
        <f>IFERROR(__xludf.DUMMYFUNCTION("""COMPUTED_VALUE"""),105983.0)</f>
        <v>105983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IFERROR(__xludf.DUMMYFUNCTION("""COMPUTED_VALUE"""),156.16)</f>
        <v>156.16</v>
      </c>
      <c r="C2737" s="1">
        <f>IFERROR(__xludf.DUMMYFUNCTION("""COMPUTED_VALUE"""),157.62)</f>
        <v>157.62</v>
      </c>
      <c r="D2737" s="1">
        <f>IFERROR(__xludf.DUMMYFUNCTION("""COMPUTED_VALUE"""),154.68)</f>
        <v>154.68</v>
      </c>
      <c r="E2737" s="1">
        <f>IFERROR(__xludf.DUMMYFUNCTION("""COMPUTED_VALUE"""),157.34)</f>
        <v>157.34</v>
      </c>
      <c r="F2737" s="1">
        <f>IFERROR(__xludf.DUMMYFUNCTION("""COMPUTED_VALUE"""),112629.0)</f>
        <v>112629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IFERROR(__xludf.DUMMYFUNCTION("""COMPUTED_VALUE"""),158.37)</f>
        <v>158.37</v>
      </c>
      <c r="C2738" s="1">
        <f>IFERROR(__xludf.DUMMYFUNCTION("""COMPUTED_VALUE"""),161.3)</f>
        <v>161.3</v>
      </c>
      <c r="D2738" s="1">
        <f>IFERROR(__xludf.DUMMYFUNCTION("""COMPUTED_VALUE"""),155.38)</f>
        <v>155.38</v>
      </c>
      <c r="E2738" s="1">
        <f>IFERROR(__xludf.DUMMYFUNCTION("""COMPUTED_VALUE"""),161.29)</f>
        <v>161.29</v>
      </c>
      <c r="F2738" s="1">
        <f>IFERROR(__xludf.DUMMYFUNCTION("""COMPUTED_VALUE"""),83053.0)</f>
        <v>83053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IFERROR(__xludf.DUMMYFUNCTION("""COMPUTED_VALUE"""),164.0)</f>
        <v>164</v>
      </c>
      <c r="C2739" s="1">
        <f>IFERROR(__xludf.DUMMYFUNCTION("""COMPUTED_VALUE"""),166.27)</f>
        <v>166.27</v>
      </c>
      <c r="D2739" s="1">
        <f>IFERROR(__xludf.DUMMYFUNCTION("""COMPUTED_VALUE"""),162.57)</f>
        <v>162.57</v>
      </c>
      <c r="E2739" s="1">
        <f>IFERROR(__xludf.DUMMYFUNCTION("""COMPUTED_VALUE"""),164.2)</f>
        <v>164.2</v>
      </c>
      <c r="F2739" s="1">
        <f>IFERROR(__xludf.DUMMYFUNCTION("""COMPUTED_VALUE"""),171607.0)</f>
        <v>171607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IFERROR(__xludf.DUMMYFUNCTION("""COMPUTED_VALUE"""),162.26)</f>
        <v>162.26</v>
      </c>
      <c r="C2740" s="1">
        <f>IFERROR(__xludf.DUMMYFUNCTION("""COMPUTED_VALUE"""),165.67)</f>
        <v>165.67</v>
      </c>
      <c r="D2740" s="1">
        <f>IFERROR(__xludf.DUMMYFUNCTION("""COMPUTED_VALUE"""),159.91)</f>
        <v>159.91</v>
      </c>
      <c r="E2740" s="1">
        <f>IFERROR(__xludf.DUMMYFUNCTION("""COMPUTED_VALUE"""),164.15)</f>
        <v>164.15</v>
      </c>
      <c r="F2740" s="1">
        <f>IFERROR(__xludf.DUMMYFUNCTION("""COMPUTED_VALUE"""),100489.0)</f>
        <v>100489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IFERROR(__xludf.DUMMYFUNCTION("""COMPUTED_VALUE"""),164.95)</f>
        <v>164.95</v>
      </c>
      <c r="C2741" s="1">
        <f>IFERROR(__xludf.DUMMYFUNCTION("""COMPUTED_VALUE"""),164.95)</f>
        <v>164.95</v>
      </c>
      <c r="D2741" s="1">
        <f>IFERROR(__xludf.DUMMYFUNCTION("""COMPUTED_VALUE"""),159.02)</f>
        <v>159.02</v>
      </c>
      <c r="E2741" s="1">
        <f>IFERROR(__xludf.DUMMYFUNCTION("""COMPUTED_VALUE"""),159.02)</f>
        <v>159.02</v>
      </c>
      <c r="F2741" s="1">
        <f>IFERROR(__xludf.DUMMYFUNCTION("""COMPUTED_VALUE"""),71406.0)</f>
        <v>71406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IFERROR(__xludf.DUMMYFUNCTION("""COMPUTED_VALUE"""),158.44)</f>
        <v>158.44</v>
      </c>
      <c r="C2742" s="1">
        <f>IFERROR(__xludf.DUMMYFUNCTION("""COMPUTED_VALUE"""),158.44)</f>
        <v>158.44</v>
      </c>
      <c r="D2742" s="1">
        <f>IFERROR(__xludf.DUMMYFUNCTION("""COMPUTED_VALUE"""),155.74)</f>
        <v>155.74</v>
      </c>
      <c r="E2742" s="1">
        <f>IFERROR(__xludf.DUMMYFUNCTION("""COMPUTED_VALUE"""),156.22)</f>
        <v>156.22</v>
      </c>
      <c r="F2742" s="1">
        <f>IFERROR(__xludf.DUMMYFUNCTION("""COMPUTED_VALUE"""),85982.0)</f>
        <v>85982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IFERROR(__xludf.DUMMYFUNCTION("""COMPUTED_VALUE"""),154.88)</f>
        <v>154.88</v>
      </c>
      <c r="C2743" s="1">
        <f>IFERROR(__xludf.DUMMYFUNCTION("""COMPUTED_VALUE"""),155.1)</f>
        <v>155.1</v>
      </c>
      <c r="D2743" s="1">
        <f>IFERROR(__xludf.DUMMYFUNCTION("""COMPUTED_VALUE"""),150.37)</f>
        <v>150.37</v>
      </c>
      <c r="E2743" s="1">
        <f>IFERROR(__xludf.DUMMYFUNCTION("""COMPUTED_VALUE"""),151.25)</f>
        <v>151.25</v>
      </c>
      <c r="F2743" s="1">
        <f>IFERROR(__xludf.DUMMYFUNCTION("""COMPUTED_VALUE"""),192876.0)</f>
        <v>192876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IFERROR(__xludf.DUMMYFUNCTION("""COMPUTED_VALUE"""),152.97)</f>
        <v>152.97</v>
      </c>
      <c r="C2744" s="1">
        <f>IFERROR(__xludf.DUMMYFUNCTION("""COMPUTED_VALUE"""),152.97)</f>
        <v>152.97</v>
      </c>
      <c r="D2744" s="1">
        <f>IFERROR(__xludf.DUMMYFUNCTION("""COMPUTED_VALUE"""),149.62)</f>
        <v>149.62</v>
      </c>
      <c r="E2744" s="1">
        <f>IFERROR(__xludf.DUMMYFUNCTION("""COMPUTED_VALUE"""),152.67)</f>
        <v>152.67</v>
      </c>
      <c r="F2744" s="1">
        <f>IFERROR(__xludf.DUMMYFUNCTION("""COMPUTED_VALUE"""),160996.0)</f>
        <v>160996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IFERROR(__xludf.DUMMYFUNCTION("""COMPUTED_VALUE"""),154.65)</f>
        <v>154.65</v>
      </c>
      <c r="C2745" s="1">
        <f>IFERROR(__xludf.DUMMYFUNCTION("""COMPUTED_VALUE"""),157.26)</f>
        <v>157.26</v>
      </c>
      <c r="D2745" s="1">
        <f>IFERROR(__xludf.DUMMYFUNCTION("""COMPUTED_VALUE"""),149.87)</f>
        <v>149.87</v>
      </c>
      <c r="E2745" s="1">
        <f>IFERROR(__xludf.DUMMYFUNCTION("""COMPUTED_VALUE"""),156.34)</f>
        <v>156.34</v>
      </c>
      <c r="F2745" s="1">
        <f>IFERROR(__xludf.DUMMYFUNCTION("""COMPUTED_VALUE"""),196088.0)</f>
        <v>196088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IFERROR(__xludf.DUMMYFUNCTION("""COMPUTED_VALUE"""),155.31)</f>
        <v>155.31</v>
      </c>
      <c r="C2746" s="1">
        <f>IFERROR(__xludf.DUMMYFUNCTION("""COMPUTED_VALUE"""),155.31)</f>
        <v>155.31</v>
      </c>
      <c r="D2746" s="1">
        <f>IFERROR(__xludf.DUMMYFUNCTION("""COMPUTED_VALUE"""),148.77)</f>
        <v>148.77</v>
      </c>
      <c r="E2746" s="1">
        <f>IFERROR(__xludf.DUMMYFUNCTION("""COMPUTED_VALUE"""),153.69)</f>
        <v>153.69</v>
      </c>
      <c r="F2746" s="1">
        <f>IFERROR(__xludf.DUMMYFUNCTION("""COMPUTED_VALUE"""),680911.0)</f>
        <v>680911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IFERROR(__xludf.DUMMYFUNCTION("""COMPUTED_VALUE"""),154.81)</f>
        <v>154.81</v>
      </c>
      <c r="C2747" s="1">
        <f>IFERROR(__xludf.DUMMYFUNCTION("""COMPUTED_VALUE"""),155.02)</f>
        <v>155.02</v>
      </c>
      <c r="D2747" s="1">
        <f>IFERROR(__xludf.DUMMYFUNCTION("""COMPUTED_VALUE"""),150.94)</f>
        <v>150.94</v>
      </c>
      <c r="E2747" s="1">
        <f>IFERROR(__xludf.DUMMYFUNCTION("""COMPUTED_VALUE"""),153.47)</f>
        <v>153.47</v>
      </c>
      <c r="F2747" s="1">
        <f>IFERROR(__xludf.DUMMYFUNCTION("""COMPUTED_VALUE"""),38434.0)</f>
        <v>38434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IFERROR(__xludf.DUMMYFUNCTION("""COMPUTED_VALUE"""),153.0)</f>
        <v>153</v>
      </c>
      <c r="C2748" s="1">
        <f>IFERROR(__xludf.DUMMYFUNCTION("""COMPUTED_VALUE"""),153.0)</f>
        <v>153</v>
      </c>
      <c r="D2748" s="1">
        <f>IFERROR(__xludf.DUMMYFUNCTION("""COMPUTED_VALUE"""),145.24)</f>
        <v>145.24</v>
      </c>
      <c r="E2748" s="1">
        <f>IFERROR(__xludf.DUMMYFUNCTION("""COMPUTED_VALUE"""),145.39)</f>
        <v>145.39</v>
      </c>
      <c r="F2748" s="1">
        <f>IFERROR(__xludf.DUMMYFUNCTION("""COMPUTED_VALUE"""),213479.0)</f>
        <v>213479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IFERROR(__xludf.DUMMYFUNCTION("""COMPUTED_VALUE"""),146.86)</f>
        <v>146.86</v>
      </c>
      <c r="C2749" s="1">
        <f>IFERROR(__xludf.DUMMYFUNCTION("""COMPUTED_VALUE"""),147.1)</f>
        <v>147.1</v>
      </c>
      <c r="D2749" s="1">
        <f>IFERROR(__xludf.DUMMYFUNCTION("""COMPUTED_VALUE"""),143.55)</f>
        <v>143.55</v>
      </c>
      <c r="E2749" s="1">
        <f>IFERROR(__xludf.DUMMYFUNCTION("""COMPUTED_VALUE"""),144.54)</f>
        <v>144.54</v>
      </c>
      <c r="F2749" s="1">
        <f>IFERROR(__xludf.DUMMYFUNCTION("""COMPUTED_VALUE"""),140589.0)</f>
        <v>140589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IFERROR(__xludf.DUMMYFUNCTION("""COMPUTED_VALUE"""),143.9)</f>
        <v>143.9</v>
      </c>
      <c r="C2750" s="1">
        <f>IFERROR(__xludf.DUMMYFUNCTION("""COMPUTED_VALUE"""),143.9)</f>
        <v>143.9</v>
      </c>
      <c r="D2750" s="1">
        <f>IFERROR(__xludf.DUMMYFUNCTION("""COMPUTED_VALUE"""),140.27)</f>
        <v>140.27</v>
      </c>
      <c r="E2750" s="1">
        <f>IFERROR(__xludf.DUMMYFUNCTION("""COMPUTED_VALUE"""),141.66)</f>
        <v>141.66</v>
      </c>
      <c r="F2750" s="1">
        <f>IFERROR(__xludf.DUMMYFUNCTION("""COMPUTED_VALUE"""),102512.0)</f>
        <v>102512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IFERROR(__xludf.DUMMYFUNCTION("""COMPUTED_VALUE"""),141.73)</f>
        <v>141.73</v>
      </c>
      <c r="C2751" s="1">
        <f>IFERROR(__xludf.DUMMYFUNCTION("""COMPUTED_VALUE"""),145.29)</f>
        <v>145.29</v>
      </c>
      <c r="D2751" s="1">
        <f>IFERROR(__xludf.DUMMYFUNCTION("""COMPUTED_VALUE"""),140.28)</f>
        <v>140.28</v>
      </c>
      <c r="E2751" s="1">
        <f>IFERROR(__xludf.DUMMYFUNCTION("""COMPUTED_VALUE"""),143.94)</f>
        <v>143.94</v>
      </c>
      <c r="F2751" s="1">
        <f>IFERROR(__xludf.DUMMYFUNCTION("""COMPUTED_VALUE"""),121597.0)</f>
        <v>121597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IFERROR(__xludf.DUMMYFUNCTION("""COMPUTED_VALUE"""),144.54)</f>
        <v>144.54</v>
      </c>
      <c r="C2752" s="1">
        <f>IFERROR(__xludf.DUMMYFUNCTION("""COMPUTED_VALUE"""),147.77)</f>
        <v>147.77</v>
      </c>
      <c r="D2752" s="1">
        <f>IFERROR(__xludf.DUMMYFUNCTION("""COMPUTED_VALUE"""),143.83)</f>
        <v>143.83</v>
      </c>
      <c r="E2752" s="1">
        <f>IFERROR(__xludf.DUMMYFUNCTION("""COMPUTED_VALUE"""),146.11)</f>
        <v>146.11</v>
      </c>
      <c r="F2752" s="1">
        <f>IFERROR(__xludf.DUMMYFUNCTION("""COMPUTED_VALUE"""),79531.0)</f>
        <v>79531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IFERROR(__xludf.DUMMYFUNCTION("""COMPUTED_VALUE"""),146.62)</f>
        <v>146.62</v>
      </c>
      <c r="C2753" s="1">
        <f>IFERROR(__xludf.DUMMYFUNCTION("""COMPUTED_VALUE"""),147.83)</f>
        <v>147.83</v>
      </c>
      <c r="D2753" s="1">
        <f>IFERROR(__xludf.DUMMYFUNCTION("""COMPUTED_VALUE"""),144.08)</f>
        <v>144.08</v>
      </c>
      <c r="E2753" s="1">
        <f>IFERROR(__xludf.DUMMYFUNCTION("""COMPUTED_VALUE"""),147.8)</f>
        <v>147.8</v>
      </c>
      <c r="F2753" s="1">
        <f>IFERROR(__xludf.DUMMYFUNCTION("""COMPUTED_VALUE"""),94150.0)</f>
        <v>94150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IFERROR(__xludf.DUMMYFUNCTION("""COMPUTED_VALUE"""),146.58)</f>
        <v>146.58</v>
      </c>
      <c r="C2754" s="1">
        <f>IFERROR(__xludf.DUMMYFUNCTION("""COMPUTED_VALUE"""),151.29)</f>
        <v>151.29</v>
      </c>
      <c r="D2754" s="1">
        <f>IFERROR(__xludf.DUMMYFUNCTION("""COMPUTED_VALUE"""),145.21)</f>
        <v>145.21</v>
      </c>
      <c r="E2754" s="1">
        <f>IFERROR(__xludf.DUMMYFUNCTION("""COMPUTED_VALUE"""),150.56)</f>
        <v>150.56</v>
      </c>
      <c r="F2754" s="1">
        <f>IFERROR(__xludf.DUMMYFUNCTION("""COMPUTED_VALUE"""),173689.0)</f>
        <v>173689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IFERROR(__xludf.DUMMYFUNCTION("""COMPUTED_VALUE"""),151.82)</f>
        <v>151.82</v>
      </c>
      <c r="C2755" s="1">
        <f>IFERROR(__xludf.DUMMYFUNCTION("""COMPUTED_VALUE"""),152.31)</f>
        <v>152.31</v>
      </c>
      <c r="D2755" s="1">
        <f>IFERROR(__xludf.DUMMYFUNCTION("""COMPUTED_VALUE"""),149.92)</f>
        <v>149.92</v>
      </c>
      <c r="E2755" s="1">
        <f>IFERROR(__xludf.DUMMYFUNCTION("""COMPUTED_VALUE"""),151.67)</f>
        <v>151.67</v>
      </c>
      <c r="F2755" s="1">
        <f>IFERROR(__xludf.DUMMYFUNCTION("""COMPUTED_VALUE"""),114339.0)</f>
        <v>114339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IFERROR(__xludf.DUMMYFUNCTION("""COMPUTED_VALUE"""),151.38)</f>
        <v>151.38</v>
      </c>
      <c r="C2756" s="1">
        <f>IFERROR(__xludf.DUMMYFUNCTION("""COMPUTED_VALUE"""),153.02)</f>
        <v>153.02</v>
      </c>
      <c r="D2756" s="1">
        <f>IFERROR(__xludf.DUMMYFUNCTION("""COMPUTED_VALUE"""),148.47)</f>
        <v>148.47</v>
      </c>
      <c r="E2756" s="1">
        <f>IFERROR(__xludf.DUMMYFUNCTION("""COMPUTED_VALUE"""),152.36)</f>
        <v>152.36</v>
      </c>
      <c r="F2756" s="1">
        <f>IFERROR(__xludf.DUMMYFUNCTION("""COMPUTED_VALUE"""),82951.0)</f>
        <v>82951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IFERROR(__xludf.DUMMYFUNCTION("""COMPUTED_VALUE"""),150.83)</f>
        <v>150.83</v>
      </c>
      <c r="C2757" s="1">
        <f>IFERROR(__xludf.DUMMYFUNCTION("""COMPUTED_VALUE"""),153.04)</f>
        <v>153.04</v>
      </c>
      <c r="D2757" s="1">
        <f>IFERROR(__xludf.DUMMYFUNCTION("""COMPUTED_VALUE"""),150.35)</f>
        <v>150.35</v>
      </c>
      <c r="E2757" s="1">
        <f>IFERROR(__xludf.DUMMYFUNCTION("""COMPUTED_VALUE"""),152.54)</f>
        <v>152.54</v>
      </c>
      <c r="F2757" s="1">
        <f>IFERROR(__xludf.DUMMYFUNCTION("""COMPUTED_VALUE"""),52949.0)</f>
        <v>52949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IFERROR(__xludf.DUMMYFUNCTION("""COMPUTED_VALUE"""),153.1)</f>
        <v>153.1</v>
      </c>
      <c r="C2758" s="1">
        <f>IFERROR(__xludf.DUMMYFUNCTION("""COMPUTED_VALUE"""),155.59)</f>
        <v>155.59</v>
      </c>
      <c r="D2758" s="1">
        <f>IFERROR(__xludf.DUMMYFUNCTION("""COMPUTED_VALUE"""),151.99)</f>
        <v>151.99</v>
      </c>
      <c r="E2758" s="1">
        <f>IFERROR(__xludf.DUMMYFUNCTION("""COMPUTED_VALUE"""),152.26)</f>
        <v>152.26</v>
      </c>
      <c r="F2758" s="1">
        <f>IFERROR(__xludf.DUMMYFUNCTION("""COMPUTED_VALUE"""),83453.0)</f>
        <v>83453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IFERROR(__xludf.DUMMYFUNCTION("""COMPUTED_VALUE"""),153.59)</f>
        <v>153.59</v>
      </c>
      <c r="C2759" s="1">
        <f>IFERROR(__xludf.DUMMYFUNCTION("""COMPUTED_VALUE"""),154.43)</f>
        <v>154.43</v>
      </c>
      <c r="D2759" s="1">
        <f>IFERROR(__xludf.DUMMYFUNCTION("""COMPUTED_VALUE"""),150.92)</f>
        <v>150.92</v>
      </c>
      <c r="E2759" s="1">
        <f>IFERROR(__xludf.DUMMYFUNCTION("""COMPUTED_VALUE"""),153.63)</f>
        <v>153.63</v>
      </c>
      <c r="F2759" s="1">
        <f>IFERROR(__xludf.DUMMYFUNCTION("""COMPUTED_VALUE"""),79078.0)</f>
        <v>79078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IFERROR(__xludf.DUMMYFUNCTION("""COMPUTED_VALUE"""),153.54)</f>
        <v>153.54</v>
      </c>
      <c r="C2760" s="1">
        <f>IFERROR(__xludf.DUMMYFUNCTION("""COMPUTED_VALUE"""),155.48)</f>
        <v>155.48</v>
      </c>
      <c r="D2760" s="1">
        <f>IFERROR(__xludf.DUMMYFUNCTION("""COMPUTED_VALUE"""),152.39)</f>
        <v>152.39</v>
      </c>
      <c r="E2760" s="1">
        <f>IFERROR(__xludf.DUMMYFUNCTION("""COMPUTED_VALUE"""),153.95)</f>
        <v>153.95</v>
      </c>
      <c r="F2760" s="1">
        <f>IFERROR(__xludf.DUMMYFUNCTION("""COMPUTED_VALUE"""),83466.0)</f>
        <v>83466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IFERROR(__xludf.DUMMYFUNCTION("""COMPUTED_VALUE"""),154.34)</f>
        <v>154.34</v>
      </c>
      <c r="C2761" s="1">
        <f>IFERROR(__xludf.DUMMYFUNCTION("""COMPUTED_VALUE"""),154.76)</f>
        <v>154.76</v>
      </c>
      <c r="D2761" s="1">
        <f>IFERROR(__xludf.DUMMYFUNCTION("""COMPUTED_VALUE"""),153.11)</f>
        <v>153.11</v>
      </c>
      <c r="E2761" s="1">
        <f>IFERROR(__xludf.DUMMYFUNCTION("""COMPUTED_VALUE"""),154.4)</f>
        <v>154.4</v>
      </c>
      <c r="F2761" s="1">
        <f>IFERROR(__xludf.DUMMYFUNCTION("""COMPUTED_VALUE"""),59724.0)</f>
        <v>59724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IFERROR(__xludf.DUMMYFUNCTION("""COMPUTED_VALUE"""),155.73)</f>
        <v>155.73</v>
      </c>
      <c r="C2762" s="1">
        <f>IFERROR(__xludf.DUMMYFUNCTION("""COMPUTED_VALUE"""),156.13)</f>
        <v>156.13</v>
      </c>
      <c r="D2762" s="1">
        <f>IFERROR(__xludf.DUMMYFUNCTION("""COMPUTED_VALUE"""),153.09)</f>
        <v>153.09</v>
      </c>
      <c r="E2762" s="1">
        <f>IFERROR(__xludf.DUMMYFUNCTION("""COMPUTED_VALUE"""),154.68)</f>
        <v>154.68</v>
      </c>
      <c r="F2762" s="1">
        <f>IFERROR(__xludf.DUMMYFUNCTION("""COMPUTED_VALUE"""),384155.0)</f>
        <v>384155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IFERROR(__xludf.DUMMYFUNCTION("""COMPUTED_VALUE"""),152.48)</f>
        <v>152.48</v>
      </c>
      <c r="C2763" s="1">
        <f>IFERROR(__xludf.DUMMYFUNCTION("""COMPUTED_VALUE"""),154.38)</f>
        <v>154.38</v>
      </c>
      <c r="D2763" s="1">
        <f>IFERROR(__xludf.DUMMYFUNCTION("""COMPUTED_VALUE"""),150.07)</f>
        <v>150.07</v>
      </c>
      <c r="E2763" s="1">
        <f>IFERROR(__xludf.DUMMYFUNCTION("""COMPUTED_VALUE"""),154.0)</f>
        <v>154</v>
      </c>
      <c r="F2763" s="1">
        <f>IFERROR(__xludf.DUMMYFUNCTION("""COMPUTED_VALUE"""),77716.0)</f>
        <v>77716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IFERROR(__xludf.DUMMYFUNCTION("""COMPUTED_VALUE"""),154.15)</f>
        <v>154.15</v>
      </c>
      <c r="C2764" s="1">
        <f>IFERROR(__xludf.DUMMYFUNCTION("""COMPUTED_VALUE"""),155.95)</f>
        <v>155.95</v>
      </c>
      <c r="D2764" s="1">
        <f>IFERROR(__xludf.DUMMYFUNCTION("""COMPUTED_VALUE"""),152.98)</f>
        <v>152.98</v>
      </c>
      <c r="E2764" s="1">
        <f>IFERROR(__xludf.DUMMYFUNCTION("""COMPUTED_VALUE"""),153.85)</f>
        <v>153.85</v>
      </c>
      <c r="F2764" s="1">
        <f>IFERROR(__xludf.DUMMYFUNCTION("""COMPUTED_VALUE"""),94735.0)</f>
        <v>94735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IFERROR(__xludf.DUMMYFUNCTION("""COMPUTED_VALUE"""),153.95)</f>
        <v>153.95</v>
      </c>
      <c r="C2765" s="1">
        <f>IFERROR(__xludf.DUMMYFUNCTION("""COMPUTED_VALUE"""),156.93)</f>
        <v>156.93</v>
      </c>
      <c r="D2765" s="1">
        <f>IFERROR(__xludf.DUMMYFUNCTION("""COMPUTED_VALUE"""),153.95)</f>
        <v>153.95</v>
      </c>
      <c r="E2765" s="1">
        <f>IFERROR(__xludf.DUMMYFUNCTION("""COMPUTED_VALUE"""),156.33)</f>
        <v>156.33</v>
      </c>
      <c r="F2765" s="1">
        <f>IFERROR(__xludf.DUMMYFUNCTION("""COMPUTED_VALUE"""),54132.0)</f>
        <v>54132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IFERROR(__xludf.DUMMYFUNCTION("""COMPUTED_VALUE"""),157.19)</f>
        <v>157.19</v>
      </c>
      <c r="C2766" s="1">
        <f>IFERROR(__xludf.DUMMYFUNCTION("""COMPUTED_VALUE"""),157.19)</f>
        <v>157.19</v>
      </c>
      <c r="D2766" s="1">
        <f>IFERROR(__xludf.DUMMYFUNCTION("""COMPUTED_VALUE"""),154.58)</f>
        <v>154.58</v>
      </c>
      <c r="E2766" s="1">
        <f>IFERROR(__xludf.DUMMYFUNCTION("""COMPUTED_VALUE"""),156.6)</f>
        <v>156.6</v>
      </c>
      <c r="F2766" s="1">
        <f>IFERROR(__xludf.DUMMYFUNCTION("""COMPUTED_VALUE"""),26358.0)</f>
        <v>26358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IFERROR(__xludf.DUMMYFUNCTION("""COMPUTED_VALUE"""),157.83)</f>
        <v>157.83</v>
      </c>
      <c r="C2767" s="1">
        <f>IFERROR(__xludf.DUMMYFUNCTION("""COMPUTED_VALUE"""),158.79)</f>
        <v>158.79</v>
      </c>
      <c r="D2767" s="1">
        <f>IFERROR(__xludf.DUMMYFUNCTION("""COMPUTED_VALUE"""),155.06)</f>
        <v>155.06</v>
      </c>
      <c r="E2767" s="1">
        <f>IFERROR(__xludf.DUMMYFUNCTION("""COMPUTED_VALUE"""),156.19)</f>
        <v>156.19</v>
      </c>
      <c r="F2767" s="1">
        <f>IFERROR(__xludf.DUMMYFUNCTION("""COMPUTED_VALUE"""),87841.0)</f>
        <v>87841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IFERROR(__xludf.DUMMYFUNCTION("""COMPUTED_VALUE"""),156.46)</f>
        <v>156.46</v>
      </c>
      <c r="C2768" s="1">
        <f>IFERROR(__xludf.DUMMYFUNCTION("""COMPUTED_VALUE"""),156.85)</f>
        <v>156.85</v>
      </c>
      <c r="D2768" s="1">
        <f>IFERROR(__xludf.DUMMYFUNCTION("""COMPUTED_VALUE"""),153.39)</f>
        <v>153.39</v>
      </c>
      <c r="E2768" s="1">
        <f>IFERROR(__xludf.DUMMYFUNCTION("""COMPUTED_VALUE"""),154.06)</f>
        <v>154.06</v>
      </c>
      <c r="F2768" s="1">
        <f>IFERROR(__xludf.DUMMYFUNCTION("""COMPUTED_VALUE"""),92335.0)</f>
        <v>92335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IFERROR(__xludf.DUMMYFUNCTION("""COMPUTED_VALUE"""),153.86)</f>
        <v>153.86</v>
      </c>
      <c r="C2769" s="1">
        <f>IFERROR(__xludf.DUMMYFUNCTION("""COMPUTED_VALUE"""),155.48)</f>
        <v>155.48</v>
      </c>
      <c r="D2769" s="1">
        <f>IFERROR(__xludf.DUMMYFUNCTION("""COMPUTED_VALUE"""),152.73)</f>
        <v>152.73</v>
      </c>
      <c r="E2769" s="1">
        <f>IFERROR(__xludf.DUMMYFUNCTION("""COMPUTED_VALUE"""),154.15)</f>
        <v>154.15</v>
      </c>
      <c r="F2769" s="1">
        <f>IFERROR(__xludf.DUMMYFUNCTION("""COMPUTED_VALUE"""),88228.0)</f>
        <v>88228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IFERROR(__xludf.DUMMYFUNCTION("""COMPUTED_VALUE"""),153.55)</f>
        <v>153.55</v>
      </c>
      <c r="C2770" s="1">
        <f>IFERROR(__xludf.DUMMYFUNCTION("""COMPUTED_VALUE"""),156.09)</f>
        <v>156.09</v>
      </c>
      <c r="D2770" s="1">
        <f>IFERROR(__xludf.DUMMYFUNCTION("""COMPUTED_VALUE"""),152.57)</f>
        <v>152.57</v>
      </c>
      <c r="E2770" s="1">
        <f>IFERROR(__xludf.DUMMYFUNCTION("""COMPUTED_VALUE"""),155.37)</f>
        <v>155.37</v>
      </c>
      <c r="F2770" s="1">
        <f>IFERROR(__xludf.DUMMYFUNCTION("""COMPUTED_VALUE"""),67063.0)</f>
        <v>67063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IFERROR(__xludf.DUMMYFUNCTION("""COMPUTED_VALUE"""),156.34)</f>
        <v>156.34</v>
      </c>
      <c r="C2771" s="1">
        <f>IFERROR(__xludf.DUMMYFUNCTION("""COMPUTED_VALUE"""),156.34)</f>
        <v>156.34</v>
      </c>
      <c r="D2771" s="1">
        <f>IFERROR(__xludf.DUMMYFUNCTION("""COMPUTED_VALUE"""),150.69)</f>
        <v>150.69</v>
      </c>
      <c r="E2771" s="1">
        <f>IFERROR(__xludf.DUMMYFUNCTION("""COMPUTED_VALUE"""),152.23)</f>
        <v>152.23</v>
      </c>
      <c r="F2771" s="1">
        <f>IFERROR(__xludf.DUMMYFUNCTION("""COMPUTED_VALUE"""),79948.0)</f>
        <v>79948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IFERROR(__xludf.DUMMYFUNCTION("""COMPUTED_VALUE"""),150.7)</f>
        <v>150.7</v>
      </c>
      <c r="C2772" s="1">
        <f>IFERROR(__xludf.DUMMYFUNCTION("""COMPUTED_VALUE"""),151.99)</f>
        <v>151.99</v>
      </c>
      <c r="D2772" s="1">
        <f>IFERROR(__xludf.DUMMYFUNCTION("""COMPUTED_VALUE"""),149.4)</f>
        <v>149.4</v>
      </c>
      <c r="E2772" s="1">
        <f>IFERROR(__xludf.DUMMYFUNCTION("""COMPUTED_VALUE"""),149.92)</f>
        <v>149.92</v>
      </c>
      <c r="F2772" s="1">
        <f>IFERROR(__xludf.DUMMYFUNCTION("""COMPUTED_VALUE"""),102768.0)</f>
        <v>102768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IFERROR(__xludf.DUMMYFUNCTION("""COMPUTED_VALUE"""),151.44)</f>
        <v>151.44</v>
      </c>
      <c r="C2773" s="1">
        <f>IFERROR(__xludf.DUMMYFUNCTION("""COMPUTED_VALUE"""),155.6)</f>
        <v>155.6</v>
      </c>
      <c r="D2773" s="1">
        <f>IFERROR(__xludf.DUMMYFUNCTION("""COMPUTED_VALUE"""),151.43)</f>
        <v>151.43</v>
      </c>
      <c r="E2773" s="1">
        <f>IFERROR(__xludf.DUMMYFUNCTION("""COMPUTED_VALUE"""),153.47)</f>
        <v>153.47</v>
      </c>
      <c r="F2773" s="1">
        <f>IFERROR(__xludf.DUMMYFUNCTION("""COMPUTED_VALUE"""),111662.0)</f>
        <v>111662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IFERROR(__xludf.DUMMYFUNCTION("""COMPUTED_VALUE"""),154.0)</f>
        <v>154</v>
      </c>
      <c r="C2774" s="1">
        <f>IFERROR(__xludf.DUMMYFUNCTION("""COMPUTED_VALUE"""),154.7)</f>
        <v>154.7</v>
      </c>
      <c r="D2774" s="1">
        <f>IFERROR(__xludf.DUMMYFUNCTION("""COMPUTED_VALUE"""),152.21)</f>
        <v>152.21</v>
      </c>
      <c r="E2774" s="1">
        <f>IFERROR(__xludf.DUMMYFUNCTION("""COMPUTED_VALUE"""),154.35)</f>
        <v>154.35</v>
      </c>
      <c r="F2774" s="1">
        <f>IFERROR(__xludf.DUMMYFUNCTION("""COMPUTED_VALUE"""),53813.0)</f>
        <v>53813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IFERROR(__xludf.DUMMYFUNCTION("""COMPUTED_VALUE"""),154.92)</f>
        <v>154.92</v>
      </c>
      <c r="C2775" s="1">
        <f>IFERROR(__xludf.DUMMYFUNCTION("""COMPUTED_VALUE"""),154.92)</f>
        <v>154.92</v>
      </c>
      <c r="D2775" s="1">
        <f>IFERROR(__xludf.DUMMYFUNCTION("""COMPUTED_VALUE"""),152.57)</f>
        <v>152.57</v>
      </c>
      <c r="E2775" s="1">
        <f>IFERROR(__xludf.DUMMYFUNCTION("""COMPUTED_VALUE"""),154.44)</f>
        <v>154.44</v>
      </c>
      <c r="F2775" s="1">
        <f>IFERROR(__xludf.DUMMYFUNCTION("""COMPUTED_VALUE"""),113263.0)</f>
        <v>113263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IFERROR(__xludf.DUMMYFUNCTION("""COMPUTED_VALUE"""),153.16)</f>
        <v>153.16</v>
      </c>
      <c r="C2776" s="1">
        <f>IFERROR(__xludf.DUMMYFUNCTION("""COMPUTED_VALUE"""),154.37)</f>
        <v>154.37</v>
      </c>
      <c r="D2776" s="1">
        <f>IFERROR(__xludf.DUMMYFUNCTION("""COMPUTED_VALUE"""),152.08)</f>
        <v>152.08</v>
      </c>
      <c r="E2776" s="1">
        <f>IFERROR(__xludf.DUMMYFUNCTION("""COMPUTED_VALUE"""),153.04)</f>
        <v>153.04</v>
      </c>
      <c r="F2776" s="1">
        <f>IFERROR(__xludf.DUMMYFUNCTION("""COMPUTED_VALUE"""),47335.0)</f>
        <v>47335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IFERROR(__xludf.DUMMYFUNCTION("""COMPUTED_VALUE"""),153.79)</f>
        <v>153.79</v>
      </c>
      <c r="C2777" s="1">
        <f>IFERROR(__xludf.DUMMYFUNCTION("""COMPUTED_VALUE"""),154.53)</f>
        <v>154.53</v>
      </c>
      <c r="D2777" s="1">
        <f>IFERROR(__xludf.DUMMYFUNCTION("""COMPUTED_VALUE"""),151.9)</f>
        <v>151.9</v>
      </c>
      <c r="E2777" s="1">
        <f>IFERROR(__xludf.DUMMYFUNCTION("""COMPUTED_VALUE"""),154.29)</f>
        <v>154.29</v>
      </c>
      <c r="F2777" s="1">
        <f>IFERROR(__xludf.DUMMYFUNCTION("""COMPUTED_VALUE"""),98501.0)</f>
        <v>98501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IFERROR(__xludf.DUMMYFUNCTION("""COMPUTED_VALUE"""),154.83)</f>
        <v>154.83</v>
      </c>
      <c r="C2778" s="1">
        <f>IFERROR(__xludf.DUMMYFUNCTION("""COMPUTED_VALUE"""),154.83)</f>
        <v>154.83</v>
      </c>
      <c r="D2778" s="1">
        <f>IFERROR(__xludf.DUMMYFUNCTION("""COMPUTED_VALUE"""),150.58)</f>
        <v>150.58</v>
      </c>
      <c r="E2778" s="1">
        <f>IFERROR(__xludf.DUMMYFUNCTION("""COMPUTED_VALUE"""),151.02)</f>
        <v>151.02</v>
      </c>
      <c r="F2778" s="1">
        <f>IFERROR(__xludf.DUMMYFUNCTION("""COMPUTED_VALUE"""),86403.0)</f>
        <v>86403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IFERROR(__xludf.DUMMYFUNCTION("""COMPUTED_VALUE"""),152.49)</f>
        <v>152.49</v>
      </c>
      <c r="C2779" s="1">
        <f>IFERROR(__xludf.DUMMYFUNCTION("""COMPUTED_VALUE"""),153.54)</f>
        <v>153.54</v>
      </c>
      <c r="D2779" s="1">
        <f>IFERROR(__xludf.DUMMYFUNCTION("""COMPUTED_VALUE"""),150.75)</f>
        <v>150.75</v>
      </c>
      <c r="E2779" s="1">
        <f>IFERROR(__xludf.DUMMYFUNCTION("""COMPUTED_VALUE"""),151.96)</f>
        <v>151.96</v>
      </c>
      <c r="F2779" s="1">
        <f>IFERROR(__xludf.DUMMYFUNCTION("""COMPUTED_VALUE"""),86852.0)</f>
        <v>86852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IFERROR(__xludf.DUMMYFUNCTION("""COMPUTED_VALUE"""),150.95)</f>
        <v>150.95</v>
      </c>
      <c r="C2780" s="1">
        <f>IFERROR(__xludf.DUMMYFUNCTION("""COMPUTED_VALUE"""),154.89)</f>
        <v>154.89</v>
      </c>
      <c r="D2780" s="1">
        <f>IFERROR(__xludf.DUMMYFUNCTION("""COMPUTED_VALUE"""),149.49)</f>
        <v>149.49</v>
      </c>
      <c r="E2780" s="1">
        <f>IFERROR(__xludf.DUMMYFUNCTION("""COMPUTED_VALUE"""),150.92)</f>
        <v>150.92</v>
      </c>
      <c r="F2780" s="1">
        <f>IFERROR(__xludf.DUMMYFUNCTION("""COMPUTED_VALUE"""),85879.0)</f>
        <v>85879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IFERROR(__xludf.DUMMYFUNCTION("""COMPUTED_VALUE"""),152.17)</f>
        <v>152.17</v>
      </c>
      <c r="C2781" s="1">
        <f>IFERROR(__xludf.DUMMYFUNCTION("""COMPUTED_VALUE"""),152.87)</f>
        <v>152.87</v>
      </c>
      <c r="D2781" s="1">
        <f>IFERROR(__xludf.DUMMYFUNCTION("""COMPUTED_VALUE"""),150.0)</f>
        <v>150</v>
      </c>
      <c r="E2781" s="1">
        <f>IFERROR(__xludf.DUMMYFUNCTION("""COMPUTED_VALUE"""),151.9)</f>
        <v>151.9</v>
      </c>
      <c r="F2781" s="1">
        <f>IFERROR(__xludf.DUMMYFUNCTION("""COMPUTED_VALUE"""),114038.0)</f>
        <v>114038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IFERROR(__xludf.DUMMYFUNCTION("""COMPUTED_VALUE"""),151.65)</f>
        <v>151.65</v>
      </c>
      <c r="C2782" s="1">
        <f>IFERROR(__xludf.DUMMYFUNCTION("""COMPUTED_VALUE"""),154.43)</f>
        <v>154.43</v>
      </c>
      <c r="D2782" s="1">
        <f>IFERROR(__xludf.DUMMYFUNCTION("""COMPUTED_VALUE"""),148.71)</f>
        <v>148.71</v>
      </c>
      <c r="E2782" s="1">
        <f>IFERROR(__xludf.DUMMYFUNCTION("""COMPUTED_VALUE"""),149.41)</f>
        <v>149.41</v>
      </c>
      <c r="F2782" s="1">
        <f>IFERROR(__xludf.DUMMYFUNCTION("""COMPUTED_VALUE"""),119755.0)</f>
        <v>119755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IFERROR(__xludf.DUMMYFUNCTION("""COMPUTED_VALUE"""),149.54)</f>
        <v>149.54</v>
      </c>
      <c r="C2783" s="1">
        <f>IFERROR(__xludf.DUMMYFUNCTION("""COMPUTED_VALUE"""),152.51)</f>
        <v>152.51</v>
      </c>
      <c r="D2783" s="1">
        <f>IFERROR(__xludf.DUMMYFUNCTION("""COMPUTED_VALUE"""),148.66)</f>
        <v>148.66</v>
      </c>
      <c r="E2783" s="1">
        <f>IFERROR(__xludf.DUMMYFUNCTION("""COMPUTED_VALUE"""),151.46)</f>
        <v>151.46</v>
      </c>
      <c r="F2783" s="1">
        <f>IFERROR(__xludf.DUMMYFUNCTION("""COMPUTED_VALUE"""),150366.0)</f>
        <v>150366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IFERROR(__xludf.DUMMYFUNCTION("""COMPUTED_VALUE"""),150.71)</f>
        <v>150.71</v>
      </c>
      <c r="C2784" s="1">
        <f>IFERROR(__xludf.DUMMYFUNCTION("""COMPUTED_VALUE"""),153.17)</f>
        <v>153.17</v>
      </c>
      <c r="D2784" s="1">
        <f>IFERROR(__xludf.DUMMYFUNCTION("""COMPUTED_VALUE"""),149.25)</f>
        <v>149.25</v>
      </c>
      <c r="E2784" s="1">
        <f>IFERROR(__xludf.DUMMYFUNCTION("""COMPUTED_VALUE"""),153.09)</f>
        <v>153.09</v>
      </c>
      <c r="F2784" s="1">
        <f>IFERROR(__xludf.DUMMYFUNCTION("""COMPUTED_VALUE"""),132516.0)</f>
        <v>132516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IFERROR(__xludf.DUMMYFUNCTION("""COMPUTED_VALUE"""),151.67)</f>
        <v>151.67</v>
      </c>
      <c r="C2785" s="1">
        <f>IFERROR(__xludf.DUMMYFUNCTION("""COMPUTED_VALUE"""),158.53)</f>
        <v>158.53</v>
      </c>
      <c r="D2785" s="1">
        <f>IFERROR(__xludf.DUMMYFUNCTION("""COMPUTED_VALUE"""),151.67)</f>
        <v>151.67</v>
      </c>
      <c r="E2785" s="1">
        <f>IFERROR(__xludf.DUMMYFUNCTION("""COMPUTED_VALUE"""),156.89)</f>
        <v>156.89</v>
      </c>
      <c r="F2785" s="1">
        <f>IFERROR(__xludf.DUMMYFUNCTION("""COMPUTED_VALUE"""),161500.0)</f>
        <v>161500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IFERROR(__xludf.DUMMYFUNCTION("""COMPUTED_VALUE"""),151.89)</f>
        <v>151.89</v>
      </c>
      <c r="C2786" s="1">
        <f>IFERROR(__xludf.DUMMYFUNCTION("""COMPUTED_VALUE"""),165.7)</f>
        <v>165.7</v>
      </c>
      <c r="D2786" s="1">
        <f>IFERROR(__xludf.DUMMYFUNCTION("""COMPUTED_VALUE"""),148.78)</f>
        <v>148.78</v>
      </c>
      <c r="E2786" s="1">
        <f>IFERROR(__xludf.DUMMYFUNCTION("""COMPUTED_VALUE"""),164.91)</f>
        <v>164.91</v>
      </c>
      <c r="F2786" s="1">
        <f>IFERROR(__xludf.DUMMYFUNCTION("""COMPUTED_VALUE"""),326907.0)</f>
        <v>326907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IFERROR(__xludf.DUMMYFUNCTION("""COMPUTED_VALUE"""),164.0)</f>
        <v>164</v>
      </c>
      <c r="C2787" s="1">
        <f>IFERROR(__xludf.DUMMYFUNCTION("""COMPUTED_VALUE"""),169.57)</f>
        <v>169.57</v>
      </c>
      <c r="D2787" s="1">
        <f>IFERROR(__xludf.DUMMYFUNCTION("""COMPUTED_VALUE"""),156.04)</f>
        <v>156.04</v>
      </c>
      <c r="E2787" s="1">
        <f>IFERROR(__xludf.DUMMYFUNCTION("""COMPUTED_VALUE"""),158.28)</f>
        <v>158.28</v>
      </c>
      <c r="F2787" s="1">
        <f>IFERROR(__xludf.DUMMYFUNCTION("""COMPUTED_VALUE"""),767115.0)</f>
        <v>767115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IFERROR(__xludf.DUMMYFUNCTION("""COMPUTED_VALUE"""),160.15)</f>
        <v>160.15</v>
      </c>
      <c r="C2788" s="1">
        <f>IFERROR(__xludf.DUMMYFUNCTION("""COMPUTED_VALUE"""),162.56)</f>
        <v>162.56</v>
      </c>
      <c r="D2788" s="1">
        <f>IFERROR(__xludf.DUMMYFUNCTION("""COMPUTED_VALUE"""),153.2)</f>
        <v>153.2</v>
      </c>
      <c r="E2788" s="1">
        <f>IFERROR(__xludf.DUMMYFUNCTION("""COMPUTED_VALUE"""),155.3)</f>
        <v>155.3</v>
      </c>
      <c r="F2788" s="1">
        <f>IFERROR(__xludf.DUMMYFUNCTION("""COMPUTED_VALUE"""),165613.0)</f>
        <v>165613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IFERROR(__xludf.DUMMYFUNCTION("""COMPUTED_VALUE"""),154.13)</f>
        <v>154.13</v>
      </c>
      <c r="C2789" s="1">
        <f>IFERROR(__xludf.DUMMYFUNCTION("""COMPUTED_VALUE"""),155.72)</f>
        <v>155.72</v>
      </c>
      <c r="D2789" s="1">
        <f>IFERROR(__xludf.DUMMYFUNCTION("""COMPUTED_VALUE"""),151.22)</f>
        <v>151.22</v>
      </c>
      <c r="E2789" s="1">
        <f>IFERROR(__xludf.DUMMYFUNCTION("""COMPUTED_VALUE"""),152.66)</f>
        <v>152.66</v>
      </c>
      <c r="F2789" s="1">
        <f>IFERROR(__xludf.DUMMYFUNCTION("""COMPUTED_VALUE"""),130207.0)</f>
        <v>130207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IFERROR(__xludf.DUMMYFUNCTION("""COMPUTED_VALUE"""),153.18)</f>
        <v>153.18</v>
      </c>
      <c r="C2790" s="1">
        <f>IFERROR(__xludf.DUMMYFUNCTION("""COMPUTED_VALUE"""),154.69)</f>
        <v>154.69</v>
      </c>
      <c r="D2790" s="1">
        <f>IFERROR(__xludf.DUMMYFUNCTION("""COMPUTED_VALUE"""),149.34)</f>
        <v>149.34</v>
      </c>
      <c r="E2790" s="1">
        <f>IFERROR(__xludf.DUMMYFUNCTION("""COMPUTED_VALUE"""),153.75)</f>
        <v>153.75</v>
      </c>
      <c r="F2790" s="1">
        <f>IFERROR(__xludf.DUMMYFUNCTION("""COMPUTED_VALUE"""),99577.0)</f>
        <v>99577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IFERROR(__xludf.DUMMYFUNCTION("""COMPUTED_VALUE"""),155.29)</f>
        <v>155.29</v>
      </c>
      <c r="C2791" s="1">
        <f>IFERROR(__xludf.DUMMYFUNCTION("""COMPUTED_VALUE"""),156.08)</f>
        <v>156.08</v>
      </c>
      <c r="D2791" s="1">
        <f>IFERROR(__xludf.DUMMYFUNCTION("""COMPUTED_VALUE"""),153.11)</f>
        <v>153.11</v>
      </c>
      <c r="E2791" s="1">
        <f>IFERROR(__xludf.DUMMYFUNCTION("""COMPUTED_VALUE"""),154.42)</f>
        <v>154.42</v>
      </c>
      <c r="F2791" s="1">
        <f>IFERROR(__xludf.DUMMYFUNCTION("""COMPUTED_VALUE"""),72807.0)</f>
        <v>72807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IFERROR(__xludf.DUMMYFUNCTION("""COMPUTED_VALUE"""),154.42)</f>
        <v>154.42</v>
      </c>
      <c r="C2792" s="1">
        <f>IFERROR(__xludf.DUMMYFUNCTION("""COMPUTED_VALUE"""),155.41)</f>
        <v>155.41</v>
      </c>
      <c r="D2792" s="1">
        <f>IFERROR(__xludf.DUMMYFUNCTION("""COMPUTED_VALUE"""),151.7)</f>
        <v>151.7</v>
      </c>
      <c r="E2792" s="1">
        <f>IFERROR(__xludf.DUMMYFUNCTION("""COMPUTED_VALUE"""),155.06)</f>
        <v>155.06</v>
      </c>
      <c r="F2792" s="1">
        <f>IFERROR(__xludf.DUMMYFUNCTION("""COMPUTED_VALUE"""),93241.0)</f>
        <v>93241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IFERROR(__xludf.DUMMYFUNCTION("""COMPUTED_VALUE"""),155.01)</f>
        <v>155.01</v>
      </c>
      <c r="C2793" s="1">
        <f>IFERROR(__xludf.DUMMYFUNCTION("""COMPUTED_VALUE"""),156.0)</f>
        <v>156</v>
      </c>
      <c r="D2793" s="1">
        <f>IFERROR(__xludf.DUMMYFUNCTION("""COMPUTED_VALUE"""),153.59)</f>
        <v>153.59</v>
      </c>
      <c r="E2793" s="1">
        <f>IFERROR(__xludf.DUMMYFUNCTION("""COMPUTED_VALUE"""),155.31)</f>
        <v>155.31</v>
      </c>
      <c r="F2793" s="1">
        <f>IFERROR(__xludf.DUMMYFUNCTION("""COMPUTED_VALUE"""),74845.0)</f>
        <v>74845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IFERROR(__xludf.DUMMYFUNCTION("""COMPUTED_VALUE"""),156.57)</f>
        <v>156.57</v>
      </c>
      <c r="C2794" s="1">
        <f>IFERROR(__xludf.DUMMYFUNCTION("""COMPUTED_VALUE"""),159.98)</f>
        <v>159.98</v>
      </c>
      <c r="D2794" s="1">
        <f>IFERROR(__xludf.DUMMYFUNCTION("""COMPUTED_VALUE"""),155.47)</f>
        <v>155.47</v>
      </c>
      <c r="E2794" s="1">
        <f>IFERROR(__xludf.DUMMYFUNCTION("""COMPUTED_VALUE"""),155.5)</f>
        <v>155.5</v>
      </c>
      <c r="F2794" s="1">
        <f>IFERROR(__xludf.DUMMYFUNCTION("""COMPUTED_VALUE"""),73489.0)</f>
        <v>73489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IFERROR(__xludf.DUMMYFUNCTION("""COMPUTED_VALUE"""),156.26)</f>
        <v>156.26</v>
      </c>
      <c r="C2795" s="1">
        <f>IFERROR(__xludf.DUMMYFUNCTION("""COMPUTED_VALUE"""),159.35)</f>
        <v>159.35</v>
      </c>
      <c r="D2795" s="1">
        <f>IFERROR(__xludf.DUMMYFUNCTION("""COMPUTED_VALUE"""),154.9)</f>
        <v>154.9</v>
      </c>
      <c r="E2795" s="1">
        <f>IFERROR(__xludf.DUMMYFUNCTION("""COMPUTED_VALUE"""),159.35)</f>
        <v>159.35</v>
      </c>
      <c r="F2795" s="1">
        <f>IFERROR(__xludf.DUMMYFUNCTION("""COMPUTED_VALUE"""),102897.0)</f>
        <v>102897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IFERROR(__xludf.DUMMYFUNCTION("""COMPUTED_VALUE"""),159.73)</f>
        <v>159.73</v>
      </c>
      <c r="C2796" s="1">
        <f>IFERROR(__xludf.DUMMYFUNCTION("""COMPUTED_VALUE"""),159.93)</f>
        <v>159.93</v>
      </c>
      <c r="D2796" s="1">
        <f>IFERROR(__xludf.DUMMYFUNCTION("""COMPUTED_VALUE"""),157.14)</f>
        <v>157.14</v>
      </c>
      <c r="E2796" s="1">
        <f>IFERROR(__xludf.DUMMYFUNCTION("""COMPUTED_VALUE"""),157.78)</f>
        <v>157.78</v>
      </c>
      <c r="F2796" s="1">
        <f>IFERROR(__xludf.DUMMYFUNCTION("""COMPUTED_VALUE"""),85927.0)</f>
        <v>85927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IFERROR(__xludf.DUMMYFUNCTION("""COMPUTED_VALUE"""),158.04)</f>
        <v>158.04</v>
      </c>
      <c r="C2797" s="1">
        <f>IFERROR(__xludf.DUMMYFUNCTION("""COMPUTED_VALUE"""),161.0)</f>
        <v>161</v>
      </c>
      <c r="D2797" s="1">
        <f>IFERROR(__xludf.DUMMYFUNCTION("""COMPUTED_VALUE"""),157.61)</f>
        <v>157.61</v>
      </c>
      <c r="E2797" s="1">
        <f>IFERROR(__xludf.DUMMYFUNCTION("""COMPUTED_VALUE"""),159.07)</f>
        <v>159.07</v>
      </c>
      <c r="F2797" s="1">
        <f>IFERROR(__xludf.DUMMYFUNCTION("""COMPUTED_VALUE"""),98855.0)</f>
        <v>98855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IFERROR(__xludf.DUMMYFUNCTION("""COMPUTED_VALUE"""),159.71)</f>
        <v>159.71</v>
      </c>
      <c r="C2798" s="1">
        <f>IFERROR(__xludf.DUMMYFUNCTION("""COMPUTED_VALUE"""),160.7)</f>
        <v>160.7</v>
      </c>
      <c r="D2798" s="1">
        <f>IFERROR(__xludf.DUMMYFUNCTION("""COMPUTED_VALUE"""),158.34)</f>
        <v>158.34</v>
      </c>
      <c r="E2798" s="1">
        <f>IFERROR(__xludf.DUMMYFUNCTION("""COMPUTED_VALUE"""),159.0)</f>
        <v>159</v>
      </c>
      <c r="F2798" s="1">
        <f>IFERROR(__xludf.DUMMYFUNCTION("""COMPUTED_VALUE"""),97978.0)</f>
        <v>97978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IFERROR(__xludf.DUMMYFUNCTION("""COMPUTED_VALUE"""),159.01)</f>
        <v>159.01</v>
      </c>
      <c r="C2799" s="1">
        <f>IFERROR(__xludf.DUMMYFUNCTION("""COMPUTED_VALUE"""),159.74)</f>
        <v>159.74</v>
      </c>
      <c r="D2799" s="1">
        <f>IFERROR(__xludf.DUMMYFUNCTION("""COMPUTED_VALUE"""),156.93)</f>
        <v>156.93</v>
      </c>
      <c r="E2799" s="1">
        <f>IFERROR(__xludf.DUMMYFUNCTION("""COMPUTED_VALUE"""),158.48)</f>
        <v>158.48</v>
      </c>
      <c r="F2799" s="1">
        <f>IFERROR(__xludf.DUMMYFUNCTION("""COMPUTED_VALUE"""),61305.0)</f>
        <v>61305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IFERROR(__xludf.DUMMYFUNCTION("""COMPUTED_VALUE"""),158.76)</f>
        <v>158.76</v>
      </c>
      <c r="C2800" s="1">
        <f>IFERROR(__xludf.DUMMYFUNCTION("""COMPUTED_VALUE"""),158.79)</f>
        <v>158.79</v>
      </c>
      <c r="D2800" s="1">
        <f>IFERROR(__xludf.DUMMYFUNCTION("""COMPUTED_VALUE"""),155.34)</f>
        <v>155.34</v>
      </c>
      <c r="E2800" s="1">
        <f>IFERROR(__xludf.DUMMYFUNCTION("""COMPUTED_VALUE"""),155.35)</f>
        <v>155.35</v>
      </c>
      <c r="F2800" s="1">
        <f>IFERROR(__xludf.DUMMYFUNCTION("""COMPUTED_VALUE"""),82982.0)</f>
        <v>82982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IFERROR(__xludf.DUMMYFUNCTION("""COMPUTED_VALUE"""),154.54)</f>
        <v>154.54</v>
      </c>
      <c r="C2801" s="1">
        <f>IFERROR(__xludf.DUMMYFUNCTION("""COMPUTED_VALUE"""),155.47)</f>
        <v>155.47</v>
      </c>
      <c r="D2801" s="1">
        <f>IFERROR(__xludf.DUMMYFUNCTION("""COMPUTED_VALUE"""),153.28)</f>
        <v>153.28</v>
      </c>
      <c r="E2801" s="1">
        <f>IFERROR(__xludf.DUMMYFUNCTION("""COMPUTED_VALUE"""),154.14)</f>
        <v>154.14</v>
      </c>
      <c r="F2801" s="1">
        <f>IFERROR(__xludf.DUMMYFUNCTION("""COMPUTED_VALUE"""),68715.0)</f>
        <v>68715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IFERROR(__xludf.DUMMYFUNCTION("""COMPUTED_VALUE"""),152.92)</f>
        <v>152.92</v>
      </c>
      <c r="C2802" s="1">
        <f>IFERROR(__xludf.DUMMYFUNCTION("""COMPUTED_VALUE"""),154.54)</f>
        <v>154.54</v>
      </c>
      <c r="D2802" s="1">
        <f>IFERROR(__xludf.DUMMYFUNCTION("""COMPUTED_VALUE"""),151.95)</f>
        <v>151.95</v>
      </c>
      <c r="E2802" s="1">
        <f>IFERROR(__xludf.DUMMYFUNCTION("""COMPUTED_VALUE"""),152.35)</f>
        <v>152.35</v>
      </c>
      <c r="F2802" s="1">
        <f>IFERROR(__xludf.DUMMYFUNCTION("""COMPUTED_VALUE"""),74998.0)</f>
        <v>74998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IFERROR(__xludf.DUMMYFUNCTION("""COMPUTED_VALUE"""),152.5)</f>
        <v>152.5</v>
      </c>
      <c r="C2803" s="1">
        <f>IFERROR(__xludf.DUMMYFUNCTION("""COMPUTED_VALUE"""),153.39)</f>
        <v>153.39</v>
      </c>
      <c r="D2803" s="1">
        <f>IFERROR(__xludf.DUMMYFUNCTION("""COMPUTED_VALUE"""),150.28)</f>
        <v>150.28</v>
      </c>
      <c r="E2803" s="1">
        <f>IFERROR(__xludf.DUMMYFUNCTION("""COMPUTED_VALUE"""),151.12)</f>
        <v>151.12</v>
      </c>
      <c r="F2803" s="1">
        <f>IFERROR(__xludf.DUMMYFUNCTION("""COMPUTED_VALUE"""),101060.0)</f>
        <v>101060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IFERROR(__xludf.DUMMYFUNCTION("""COMPUTED_VALUE"""),150.0)</f>
        <v>150</v>
      </c>
      <c r="C2804" s="1">
        <f>IFERROR(__xludf.DUMMYFUNCTION("""COMPUTED_VALUE"""),152.27)</f>
        <v>152.27</v>
      </c>
      <c r="D2804" s="1">
        <f>IFERROR(__xludf.DUMMYFUNCTION("""COMPUTED_VALUE"""),149.12)</f>
        <v>149.12</v>
      </c>
      <c r="E2804" s="1">
        <f>IFERROR(__xludf.DUMMYFUNCTION("""COMPUTED_VALUE"""),150.81)</f>
        <v>150.81</v>
      </c>
      <c r="F2804" s="1">
        <f>IFERROR(__xludf.DUMMYFUNCTION("""COMPUTED_VALUE"""),151965.0)</f>
        <v>151965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IFERROR(__xludf.DUMMYFUNCTION("""COMPUTED_VALUE"""),151.0)</f>
        <v>151</v>
      </c>
      <c r="C2805" s="1">
        <f>IFERROR(__xludf.DUMMYFUNCTION("""COMPUTED_VALUE"""),154.43)</f>
        <v>154.43</v>
      </c>
      <c r="D2805" s="1">
        <f>IFERROR(__xludf.DUMMYFUNCTION("""COMPUTED_VALUE"""),147.61)</f>
        <v>147.61</v>
      </c>
      <c r="E2805" s="1">
        <f>IFERROR(__xludf.DUMMYFUNCTION("""COMPUTED_VALUE"""),152.78)</f>
        <v>152.78</v>
      </c>
      <c r="F2805" s="1">
        <f>IFERROR(__xludf.DUMMYFUNCTION("""COMPUTED_VALUE"""),144968.0)</f>
        <v>144968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IFERROR(__xludf.DUMMYFUNCTION("""COMPUTED_VALUE"""),153.21)</f>
        <v>153.21</v>
      </c>
      <c r="C2806" s="1">
        <f>IFERROR(__xludf.DUMMYFUNCTION("""COMPUTED_VALUE"""),157.94)</f>
        <v>157.94</v>
      </c>
      <c r="D2806" s="1">
        <f>IFERROR(__xludf.DUMMYFUNCTION("""COMPUTED_VALUE"""),152.08)</f>
        <v>152.08</v>
      </c>
      <c r="E2806" s="1">
        <f>IFERROR(__xludf.DUMMYFUNCTION("""COMPUTED_VALUE"""),156.34)</f>
        <v>156.34</v>
      </c>
      <c r="F2806" s="1">
        <f>IFERROR(__xludf.DUMMYFUNCTION("""COMPUTED_VALUE"""),135564.0)</f>
        <v>135564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IFERROR(__xludf.DUMMYFUNCTION("""COMPUTED_VALUE"""),157.12)</f>
        <v>157.12</v>
      </c>
      <c r="C2807" s="1">
        <f>IFERROR(__xludf.DUMMYFUNCTION("""COMPUTED_VALUE"""),160.45)</f>
        <v>160.45</v>
      </c>
      <c r="D2807" s="1">
        <f>IFERROR(__xludf.DUMMYFUNCTION("""COMPUTED_VALUE"""),156.16)</f>
        <v>156.16</v>
      </c>
      <c r="E2807" s="1">
        <f>IFERROR(__xludf.DUMMYFUNCTION("""COMPUTED_VALUE"""),158.97)</f>
        <v>158.97</v>
      </c>
      <c r="F2807" s="1">
        <f>IFERROR(__xludf.DUMMYFUNCTION("""COMPUTED_VALUE"""),119750.0)</f>
        <v>119750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IFERROR(__xludf.DUMMYFUNCTION("""COMPUTED_VALUE"""),160.18)</f>
        <v>160.18</v>
      </c>
      <c r="C2808" s="1">
        <f>IFERROR(__xludf.DUMMYFUNCTION("""COMPUTED_VALUE"""),161.57)</f>
        <v>161.57</v>
      </c>
      <c r="D2808" s="1">
        <f>IFERROR(__xludf.DUMMYFUNCTION("""COMPUTED_VALUE"""),157.97)</f>
        <v>157.97</v>
      </c>
      <c r="E2808" s="1">
        <f>IFERROR(__xludf.DUMMYFUNCTION("""COMPUTED_VALUE"""),158.76)</f>
        <v>158.76</v>
      </c>
      <c r="F2808" s="1">
        <f>IFERROR(__xludf.DUMMYFUNCTION("""COMPUTED_VALUE"""),126582.0)</f>
        <v>126582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IFERROR(__xludf.DUMMYFUNCTION("""COMPUTED_VALUE"""),160.83)</f>
        <v>160.83</v>
      </c>
      <c r="C2809" s="1">
        <f>IFERROR(__xludf.DUMMYFUNCTION("""COMPUTED_VALUE"""),162.3)</f>
        <v>162.3</v>
      </c>
      <c r="D2809" s="1">
        <f>IFERROR(__xludf.DUMMYFUNCTION("""COMPUTED_VALUE"""),159.41)</f>
        <v>159.41</v>
      </c>
      <c r="E2809" s="1">
        <f>IFERROR(__xludf.DUMMYFUNCTION("""COMPUTED_VALUE"""),160.27)</f>
        <v>160.27</v>
      </c>
      <c r="F2809" s="1">
        <f>IFERROR(__xludf.DUMMYFUNCTION("""COMPUTED_VALUE"""),65716.0)</f>
        <v>65716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IFERROR(__xludf.DUMMYFUNCTION("""COMPUTED_VALUE"""),161.06)</f>
        <v>161.06</v>
      </c>
      <c r="C2810" s="1">
        <f>IFERROR(__xludf.DUMMYFUNCTION("""COMPUTED_VALUE"""),161.06)</f>
        <v>161.06</v>
      </c>
      <c r="D2810" s="1">
        <f>IFERROR(__xludf.DUMMYFUNCTION("""COMPUTED_VALUE"""),158.1)</f>
        <v>158.1</v>
      </c>
      <c r="E2810" s="1">
        <f>IFERROR(__xludf.DUMMYFUNCTION("""COMPUTED_VALUE"""),158.93)</f>
        <v>158.93</v>
      </c>
      <c r="F2810" s="1">
        <f>IFERROR(__xludf.DUMMYFUNCTION("""COMPUTED_VALUE"""),90017.0)</f>
        <v>90017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IFERROR(__xludf.DUMMYFUNCTION("""COMPUTED_VALUE"""),158.81)</f>
        <v>158.81</v>
      </c>
      <c r="C2811" s="1">
        <f>IFERROR(__xludf.DUMMYFUNCTION("""COMPUTED_VALUE"""),161.56)</f>
        <v>161.56</v>
      </c>
      <c r="D2811" s="1">
        <f>IFERROR(__xludf.DUMMYFUNCTION("""COMPUTED_VALUE"""),157.8)</f>
        <v>157.8</v>
      </c>
      <c r="E2811" s="1">
        <f>IFERROR(__xludf.DUMMYFUNCTION("""COMPUTED_VALUE"""),158.67)</f>
        <v>158.67</v>
      </c>
      <c r="F2811" s="1">
        <f>IFERROR(__xludf.DUMMYFUNCTION("""COMPUTED_VALUE"""),143335.0)</f>
        <v>143335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IFERROR(__xludf.DUMMYFUNCTION("""COMPUTED_VALUE"""),159.44)</f>
        <v>159.44</v>
      </c>
      <c r="C2812" s="1">
        <f>IFERROR(__xludf.DUMMYFUNCTION("""COMPUTED_VALUE"""),161.34)</f>
        <v>161.34</v>
      </c>
      <c r="D2812" s="1">
        <f>IFERROR(__xludf.DUMMYFUNCTION("""COMPUTED_VALUE"""),154.0)</f>
        <v>154</v>
      </c>
      <c r="E2812" s="1">
        <f>IFERROR(__xludf.DUMMYFUNCTION("""COMPUTED_VALUE"""),155.23)</f>
        <v>155.23</v>
      </c>
      <c r="F2812" s="1">
        <f>IFERROR(__xludf.DUMMYFUNCTION("""COMPUTED_VALUE"""),124152.0)</f>
        <v>124152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IFERROR(__xludf.DUMMYFUNCTION("""COMPUTED_VALUE"""),156.64)</f>
        <v>156.64</v>
      </c>
      <c r="C2813" s="1">
        <f>IFERROR(__xludf.DUMMYFUNCTION("""COMPUTED_VALUE"""),160.11)</f>
        <v>160.11</v>
      </c>
      <c r="D2813" s="1">
        <f>IFERROR(__xludf.DUMMYFUNCTION("""COMPUTED_VALUE"""),153.56)</f>
        <v>153.56</v>
      </c>
      <c r="E2813" s="1">
        <f>IFERROR(__xludf.DUMMYFUNCTION("""COMPUTED_VALUE"""),159.84)</f>
        <v>159.84</v>
      </c>
      <c r="F2813" s="1">
        <f>IFERROR(__xludf.DUMMYFUNCTION("""COMPUTED_VALUE"""),150550.0)</f>
        <v>150550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IFERROR(__xludf.DUMMYFUNCTION("""COMPUTED_VALUE"""),161.33)</f>
        <v>161.33</v>
      </c>
      <c r="C2814" s="1">
        <f>IFERROR(__xludf.DUMMYFUNCTION("""COMPUTED_VALUE"""),165.61)</f>
        <v>165.61</v>
      </c>
      <c r="D2814" s="1">
        <f>IFERROR(__xludf.DUMMYFUNCTION("""COMPUTED_VALUE"""),159.74)</f>
        <v>159.74</v>
      </c>
      <c r="E2814" s="1">
        <f>IFERROR(__xludf.DUMMYFUNCTION("""COMPUTED_VALUE"""),165.19)</f>
        <v>165.19</v>
      </c>
      <c r="F2814" s="1">
        <f>IFERROR(__xludf.DUMMYFUNCTION("""COMPUTED_VALUE"""),118717.0)</f>
        <v>118717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IFERROR(__xludf.DUMMYFUNCTION("""COMPUTED_VALUE"""),165.13)</f>
        <v>165.13</v>
      </c>
      <c r="C2815" s="1">
        <f>IFERROR(__xludf.DUMMYFUNCTION("""COMPUTED_VALUE"""),167.29)</f>
        <v>167.29</v>
      </c>
      <c r="D2815" s="1">
        <f>IFERROR(__xludf.DUMMYFUNCTION("""COMPUTED_VALUE"""),164.88)</f>
        <v>164.88</v>
      </c>
      <c r="E2815" s="1">
        <f>IFERROR(__xludf.DUMMYFUNCTION("""COMPUTED_VALUE"""),165.17)</f>
        <v>165.17</v>
      </c>
      <c r="F2815" s="1">
        <f>IFERROR(__xludf.DUMMYFUNCTION("""COMPUTED_VALUE"""),78846.0)</f>
        <v>78846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IFERROR(__xludf.DUMMYFUNCTION("""COMPUTED_VALUE"""),166.44)</f>
        <v>166.44</v>
      </c>
      <c r="C2816" s="1">
        <f>IFERROR(__xludf.DUMMYFUNCTION("""COMPUTED_VALUE"""),169.58)</f>
        <v>169.58</v>
      </c>
      <c r="D2816" s="1">
        <f>IFERROR(__xludf.DUMMYFUNCTION("""COMPUTED_VALUE"""),165.77)</f>
        <v>165.77</v>
      </c>
      <c r="E2816" s="1">
        <f>IFERROR(__xludf.DUMMYFUNCTION("""COMPUTED_VALUE"""),168.38)</f>
        <v>168.38</v>
      </c>
      <c r="F2816" s="1">
        <f>IFERROR(__xludf.DUMMYFUNCTION("""COMPUTED_VALUE"""),73466.0)</f>
        <v>73466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IFERROR(__xludf.DUMMYFUNCTION("""COMPUTED_VALUE"""),168.35)</f>
        <v>168.35</v>
      </c>
      <c r="C2817" s="1">
        <f>IFERROR(__xludf.DUMMYFUNCTION("""COMPUTED_VALUE"""),169.56)</f>
        <v>169.56</v>
      </c>
      <c r="D2817" s="1">
        <f>IFERROR(__xludf.DUMMYFUNCTION("""COMPUTED_VALUE"""),164.25)</f>
        <v>164.25</v>
      </c>
      <c r="E2817" s="1">
        <f>IFERROR(__xludf.DUMMYFUNCTION("""COMPUTED_VALUE"""),165.28)</f>
        <v>165.28</v>
      </c>
      <c r="F2817" s="1">
        <f>IFERROR(__xludf.DUMMYFUNCTION("""COMPUTED_VALUE"""),96136.0)</f>
        <v>96136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IFERROR(__xludf.DUMMYFUNCTION("""COMPUTED_VALUE"""),165.47)</f>
        <v>165.47</v>
      </c>
      <c r="C2818" s="1">
        <f>IFERROR(__xludf.DUMMYFUNCTION("""COMPUTED_VALUE"""),167.98)</f>
        <v>167.98</v>
      </c>
      <c r="D2818" s="1">
        <f>IFERROR(__xludf.DUMMYFUNCTION("""COMPUTED_VALUE"""),165.47)</f>
        <v>165.47</v>
      </c>
      <c r="E2818" s="1">
        <f>IFERROR(__xludf.DUMMYFUNCTION("""COMPUTED_VALUE"""),166.3)</f>
        <v>166.3</v>
      </c>
      <c r="F2818" s="1">
        <f>IFERROR(__xludf.DUMMYFUNCTION("""COMPUTED_VALUE"""),66405.0)</f>
        <v>66405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IFERROR(__xludf.DUMMYFUNCTION("""COMPUTED_VALUE"""),166.01)</f>
        <v>166.01</v>
      </c>
      <c r="C2819" s="1">
        <f>IFERROR(__xludf.DUMMYFUNCTION("""COMPUTED_VALUE"""),166.6)</f>
        <v>166.6</v>
      </c>
      <c r="D2819" s="1">
        <f>IFERROR(__xludf.DUMMYFUNCTION("""COMPUTED_VALUE"""),164.3)</f>
        <v>164.3</v>
      </c>
      <c r="E2819" s="1">
        <f>IFERROR(__xludf.DUMMYFUNCTION("""COMPUTED_VALUE"""),165.84)</f>
        <v>165.84</v>
      </c>
      <c r="F2819" s="1">
        <f>IFERROR(__xludf.DUMMYFUNCTION("""COMPUTED_VALUE"""),69799.0)</f>
        <v>69799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IFERROR(__xludf.DUMMYFUNCTION("""COMPUTED_VALUE"""),164.63)</f>
        <v>164.63</v>
      </c>
      <c r="C2820" s="1">
        <f>IFERROR(__xludf.DUMMYFUNCTION("""COMPUTED_VALUE"""),165.33)</f>
        <v>165.33</v>
      </c>
      <c r="D2820" s="1">
        <f>IFERROR(__xludf.DUMMYFUNCTION("""COMPUTED_VALUE"""),163.02)</f>
        <v>163.02</v>
      </c>
      <c r="E2820" s="1">
        <f>IFERROR(__xludf.DUMMYFUNCTION("""COMPUTED_VALUE"""),164.5)</f>
        <v>164.5</v>
      </c>
      <c r="F2820" s="1">
        <f>IFERROR(__xludf.DUMMYFUNCTION("""COMPUTED_VALUE"""),45333.0)</f>
        <v>45333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IFERROR(__xludf.DUMMYFUNCTION("""COMPUTED_VALUE"""),164.7)</f>
        <v>164.7</v>
      </c>
      <c r="C2821" s="1">
        <f>IFERROR(__xludf.DUMMYFUNCTION("""COMPUTED_VALUE"""),165.04)</f>
        <v>165.04</v>
      </c>
      <c r="D2821" s="1">
        <f>IFERROR(__xludf.DUMMYFUNCTION("""COMPUTED_VALUE"""),161.97)</f>
        <v>161.97</v>
      </c>
      <c r="E2821" s="1">
        <f>IFERROR(__xludf.DUMMYFUNCTION("""COMPUTED_VALUE"""),164.24)</f>
        <v>164.24</v>
      </c>
      <c r="F2821" s="1">
        <f>IFERROR(__xludf.DUMMYFUNCTION("""COMPUTED_VALUE"""),75468.0)</f>
        <v>75468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IFERROR(__xludf.DUMMYFUNCTION("""COMPUTED_VALUE"""),163.46)</f>
        <v>163.46</v>
      </c>
      <c r="C2822" s="1">
        <f>IFERROR(__xludf.DUMMYFUNCTION("""COMPUTED_VALUE"""),163.64)</f>
        <v>163.64</v>
      </c>
      <c r="D2822" s="1">
        <f>IFERROR(__xludf.DUMMYFUNCTION("""COMPUTED_VALUE"""),161.44)</f>
        <v>161.44</v>
      </c>
      <c r="E2822" s="1">
        <f>IFERROR(__xludf.DUMMYFUNCTION("""COMPUTED_VALUE"""),162.15)</f>
        <v>162.15</v>
      </c>
      <c r="F2822" s="1">
        <f>IFERROR(__xludf.DUMMYFUNCTION("""COMPUTED_VALUE"""),85450.0)</f>
        <v>85450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IFERROR(__xludf.DUMMYFUNCTION("""COMPUTED_VALUE"""),160.55)</f>
        <v>160.55</v>
      </c>
      <c r="C2823" s="1">
        <f>IFERROR(__xludf.DUMMYFUNCTION("""COMPUTED_VALUE"""),162.35)</f>
        <v>162.35</v>
      </c>
      <c r="D2823" s="1">
        <f>IFERROR(__xludf.DUMMYFUNCTION("""COMPUTED_VALUE"""),160.01)</f>
        <v>160.01</v>
      </c>
      <c r="E2823" s="1">
        <f>IFERROR(__xludf.DUMMYFUNCTION("""COMPUTED_VALUE"""),160.65)</f>
        <v>160.65</v>
      </c>
      <c r="F2823" s="1">
        <f>IFERROR(__xludf.DUMMYFUNCTION("""COMPUTED_VALUE"""),234955.0)</f>
        <v>234955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IFERROR(__xludf.DUMMYFUNCTION("""COMPUTED_VALUE"""),160.22)</f>
        <v>160.22</v>
      </c>
      <c r="C2824" s="1">
        <f>IFERROR(__xludf.DUMMYFUNCTION("""COMPUTED_VALUE"""),161.03)</f>
        <v>161.03</v>
      </c>
      <c r="D2824" s="1">
        <f>IFERROR(__xludf.DUMMYFUNCTION("""COMPUTED_VALUE"""),152.94)</f>
        <v>152.94</v>
      </c>
      <c r="E2824" s="1">
        <f>IFERROR(__xludf.DUMMYFUNCTION("""COMPUTED_VALUE"""),154.39)</f>
        <v>154.39</v>
      </c>
      <c r="F2824" s="1">
        <f>IFERROR(__xludf.DUMMYFUNCTION("""COMPUTED_VALUE"""),247343.0)</f>
        <v>247343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IFERROR(__xludf.DUMMYFUNCTION("""COMPUTED_VALUE"""),153.25)</f>
        <v>153.25</v>
      </c>
      <c r="C2825" s="1">
        <f>IFERROR(__xludf.DUMMYFUNCTION("""COMPUTED_VALUE"""),156.57)</f>
        <v>156.57</v>
      </c>
      <c r="D2825" s="1">
        <f>IFERROR(__xludf.DUMMYFUNCTION("""COMPUTED_VALUE"""),151.76)</f>
        <v>151.76</v>
      </c>
      <c r="E2825" s="1">
        <f>IFERROR(__xludf.DUMMYFUNCTION("""COMPUTED_VALUE"""),153.7)</f>
        <v>153.7</v>
      </c>
      <c r="F2825" s="1">
        <f>IFERROR(__xludf.DUMMYFUNCTION("""COMPUTED_VALUE"""),144329.0)</f>
        <v>144329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IFERROR(__xludf.DUMMYFUNCTION("""COMPUTED_VALUE"""),154.96)</f>
        <v>154.96</v>
      </c>
      <c r="C2826" s="1">
        <f>IFERROR(__xludf.DUMMYFUNCTION("""COMPUTED_VALUE"""),159.76)</f>
        <v>159.76</v>
      </c>
      <c r="D2826" s="1">
        <f>IFERROR(__xludf.DUMMYFUNCTION("""COMPUTED_VALUE"""),152.67)</f>
        <v>152.67</v>
      </c>
      <c r="E2826" s="1">
        <f>IFERROR(__xludf.DUMMYFUNCTION("""COMPUTED_VALUE"""),157.04)</f>
        <v>157.04</v>
      </c>
      <c r="F2826" s="1">
        <f>IFERROR(__xludf.DUMMYFUNCTION("""COMPUTED_VALUE"""),580427.0)</f>
        <v>580427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IFERROR(__xludf.DUMMYFUNCTION("""COMPUTED_VALUE"""),157.31)</f>
        <v>157.31</v>
      </c>
      <c r="C2827" s="1">
        <f>IFERROR(__xludf.DUMMYFUNCTION("""COMPUTED_VALUE"""),158.93)</f>
        <v>158.93</v>
      </c>
      <c r="D2827" s="1">
        <f>IFERROR(__xludf.DUMMYFUNCTION("""COMPUTED_VALUE"""),155.3)</f>
        <v>155.3</v>
      </c>
      <c r="E2827" s="1">
        <f>IFERROR(__xludf.DUMMYFUNCTION("""COMPUTED_VALUE"""),157.77)</f>
        <v>157.77</v>
      </c>
      <c r="F2827" s="1">
        <f>IFERROR(__xludf.DUMMYFUNCTION("""COMPUTED_VALUE"""),107840.0)</f>
        <v>107840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IFERROR(__xludf.DUMMYFUNCTION("""COMPUTED_VALUE"""),157.49)</f>
        <v>157.49</v>
      </c>
      <c r="C2828" s="1">
        <f>IFERROR(__xludf.DUMMYFUNCTION("""COMPUTED_VALUE"""),160.44)</f>
        <v>160.44</v>
      </c>
      <c r="D2828" s="1">
        <f>IFERROR(__xludf.DUMMYFUNCTION("""COMPUTED_VALUE"""),156.35)</f>
        <v>156.35</v>
      </c>
      <c r="E2828" s="1">
        <f>IFERROR(__xludf.DUMMYFUNCTION("""COMPUTED_VALUE"""),157.64)</f>
        <v>157.64</v>
      </c>
      <c r="F2828" s="1">
        <f>IFERROR(__xludf.DUMMYFUNCTION("""COMPUTED_VALUE"""),75507.0)</f>
        <v>75507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IFERROR(__xludf.DUMMYFUNCTION("""COMPUTED_VALUE"""),157.46)</f>
        <v>157.46</v>
      </c>
      <c r="C2829" s="1">
        <f>IFERROR(__xludf.DUMMYFUNCTION("""COMPUTED_VALUE"""),159.58)</f>
        <v>159.58</v>
      </c>
      <c r="D2829" s="1">
        <f>IFERROR(__xludf.DUMMYFUNCTION("""COMPUTED_VALUE"""),156.73)</f>
        <v>156.73</v>
      </c>
      <c r="E2829" s="1">
        <f>IFERROR(__xludf.DUMMYFUNCTION("""COMPUTED_VALUE"""),157.97)</f>
        <v>157.97</v>
      </c>
      <c r="F2829" s="1">
        <f>IFERROR(__xludf.DUMMYFUNCTION("""COMPUTED_VALUE"""),106240.0)</f>
        <v>106240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IFERROR(__xludf.DUMMYFUNCTION("""COMPUTED_VALUE"""),158.24)</f>
        <v>158.24</v>
      </c>
      <c r="C2830" s="1">
        <f>IFERROR(__xludf.DUMMYFUNCTION("""COMPUTED_VALUE"""),158.24)</f>
        <v>158.24</v>
      </c>
      <c r="D2830" s="1">
        <f>IFERROR(__xludf.DUMMYFUNCTION("""COMPUTED_VALUE"""),156.37)</f>
        <v>156.37</v>
      </c>
      <c r="E2830" s="1">
        <f>IFERROR(__xludf.DUMMYFUNCTION("""COMPUTED_VALUE"""),156.91)</f>
        <v>156.91</v>
      </c>
      <c r="F2830" s="1">
        <f>IFERROR(__xludf.DUMMYFUNCTION("""COMPUTED_VALUE"""),59682.0)</f>
        <v>59682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IFERROR(__xludf.DUMMYFUNCTION("""COMPUTED_VALUE"""),156.68)</f>
        <v>156.68</v>
      </c>
      <c r="C2831" s="1">
        <f>IFERROR(__xludf.DUMMYFUNCTION("""COMPUTED_VALUE"""),158.26)</f>
        <v>158.26</v>
      </c>
      <c r="D2831" s="1">
        <f>IFERROR(__xludf.DUMMYFUNCTION("""COMPUTED_VALUE"""),155.3)</f>
        <v>155.3</v>
      </c>
      <c r="E2831" s="1">
        <f>IFERROR(__xludf.DUMMYFUNCTION("""COMPUTED_VALUE"""),157.03)</f>
        <v>157.03</v>
      </c>
      <c r="F2831" s="1">
        <f>IFERROR(__xludf.DUMMYFUNCTION("""COMPUTED_VALUE"""),130299.0)</f>
        <v>130299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IFERROR(__xludf.DUMMYFUNCTION("""COMPUTED_VALUE"""),156.79)</f>
        <v>156.79</v>
      </c>
      <c r="C2832" s="1">
        <f>IFERROR(__xludf.DUMMYFUNCTION("""COMPUTED_VALUE"""),158.75)</f>
        <v>158.75</v>
      </c>
      <c r="D2832" s="1">
        <f>IFERROR(__xludf.DUMMYFUNCTION("""COMPUTED_VALUE"""),154.29)</f>
        <v>154.29</v>
      </c>
      <c r="E2832" s="1">
        <f>IFERROR(__xludf.DUMMYFUNCTION("""COMPUTED_VALUE"""),156.64)</f>
        <v>156.64</v>
      </c>
      <c r="F2832" s="1">
        <f>IFERROR(__xludf.DUMMYFUNCTION("""COMPUTED_VALUE"""),77598.0)</f>
        <v>77598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IFERROR(__xludf.DUMMYFUNCTION("""COMPUTED_VALUE"""),157.19)</f>
        <v>157.19</v>
      </c>
      <c r="C2833" s="1">
        <f>IFERROR(__xludf.DUMMYFUNCTION("""COMPUTED_VALUE"""),160.93)</f>
        <v>160.93</v>
      </c>
      <c r="D2833" s="1">
        <f>IFERROR(__xludf.DUMMYFUNCTION("""COMPUTED_VALUE"""),156.63)</f>
        <v>156.63</v>
      </c>
      <c r="E2833" s="1">
        <f>IFERROR(__xludf.DUMMYFUNCTION("""COMPUTED_VALUE"""),158.52)</f>
        <v>158.52</v>
      </c>
      <c r="F2833" s="1">
        <f>IFERROR(__xludf.DUMMYFUNCTION("""COMPUTED_VALUE"""),91844.0)</f>
        <v>91844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IFERROR(__xludf.DUMMYFUNCTION("""COMPUTED_VALUE"""),157.99)</f>
        <v>157.99</v>
      </c>
      <c r="C2834" s="1">
        <f>IFERROR(__xludf.DUMMYFUNCTION("""COMPUTED_VALUE"""),159.9)</f>
        <v>159.9</v>
      </c>
      <c r="D2834" s="1">
        <f>IFERROR(__xludf.DUMMYFUNCTION("""COMPUTED_VALUE"""),157.03)</f>
        <v>157.03</v>
      </c>
      <c r="E2834" s="1">
        <f>IFERROR(__xludf.DUMMYFUNCTION("""COMPUTED_VALUE"""),157.42)</f>
        <v>157.42</v>
      </c>
      <c r="F2834" s="1">
        <f>IFERROR(__xludf.DUMMYFUNCTION("""COMPUTED_VALUE"""),72692.0)</f>
        <v>72692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IFERROR(__xludf.DUMMYFUNCTION("""COMPUTED_VALUE"""),157.75)</f>
        <v>157.75</v>
      </c>
      <c r="C2835" s="1">
        <f>IFERROR(__xludf.DUMMYFUNCTION("""COMPUTED_VALUE"""),158.19)</f>
        <v>158.19</v>
      </c>
      <c r="D2835" s="1">
        <f>IFERROR(__xludf.DUMMYFUNCTION("""COMPUTED_VALUE"""),156.16)</f>
        <v>156.16</v>
      </c>
      <c r="E2835" s="1">
        <f>IFERROR(__xludf.DUMMYFUNCTION("""COMPUTED_VALUE"""),157.26)</f>
        <v>157.26</v>
      </c>
      <c r="F2835" s="1">
        <f>IFERROR(__xludf.DUMMYFUNCTION("""COMPUTED_VALUE"""),53122.0)</f>
        <v>53122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IFERROR(__xludf.DUMMYFUNCTION("""COMPUTED_VALUE"""),157.05)</f>
        <v>157.05</v>
      </c>
      <c r="C2836" s="1">
        <f>IFERROR(__xludf.DUMMYFUNCTION("""COMPUTED_VALUE"""),157.96)</f>
        <v>157.96</v>
      </c>
      <c r="D2836" s="1">
        <f>IFERROR(__xludf.DUMMYFUNCTION("""COMPUTED_VALUE"""),156.56)</f>
        <v>156.56</v>
      </c>
      <c r="E2836" s="1">
        <f>IFERROR(__xludf.DUMMYFUNCTION("""COMPUTED_VALUE"""),157.45)</f>
        <v>157.45</v>
      </c>
      <c r="F2836" s="1">
        <f>IFERROR(__xludf.DUMMYFUNCTION("""COMPUTED_VALUE"""),52061.0)</f>
        <v>52061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IFERROR(__xludf.DUMMYFUNCTION("""COMPUTED_VALUE"""),157.99)</f>
        <v>157.99</v>
      </c>
      <c r="C2837" s="1">
        <f>IFERROR(__xludf.DUMMYFUNCTION("""COMPUTED_VALUE"""),157.99)</f>
        <v>157.99</v>
      </c>
      <c r="D2837" s="1">
        <f>IFERROR(__xludf.DUMMYFUNCTION("""COMPUTED_VALUE"""),155.64)</f>
        <v>155.64</v>
      </c>
      <c r="E2837" s="1">
        <f>IFERROR(__xludf.DUMMYFUNCTION("""COMPUTED_VALUE"""),156.29)</f>
        <v>156.29</v>
      </c>
      <c r="F2837" s="1">
        <f>IFERROR(__xludf.DUMMYFUNCTION("""COMPUTED_VALUE"""),72101.0)</f>
        <v>72101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IFERROR(__xludf.DUMMYFUNCTION("""COMPUTED_VALUE"""),155.55)</f>
        <v>155.55</v>
      </c>
      <c r="C2838" s="1">
        <f>IFERROR(__xludf.DUMMYFUNCTION("""COMPUTED_VALUE"""),160.45)</f>
        <v>160.45</v>
      </c>
      <c r="D2838" s="1">
        <f>IFERROR(__xludf.DUMMYFUNCTION("""COMPUTED_VALUE"""),155.55)</f>
        <v>155.55</v>
      </c>
      <c r="E2838" s="1">
        <f>IFERROR(__xludf.DUMMYFUNCTION("""COMPUTED_VALUE"""),159.01)</f>
        <v>159.01</v>
      </c>
      <c r="F2838" s="1">
        <f>IFERROR(__xludf.DUMMYFUNCTION("""COMPUTED_VALUE"""),67491.0)</f>
        <v>67491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IFERROR(__xludf.DUMMYFUNCTION("""COMPUTED_VALUE"""),158.4)</f>
        <v>158.4</v>
      </c>
      <c r="C2839" s="1">
        <f>IFERROR(__xludf.DUMMYFUNCTION("""COMPUTED_VALUE"""),158.89)</f>
        <v>158.89</v>
      </c>
      <c r="D2839" s="1">
        <f>IFERROR(__xludf.DUMMYFUNCTION("""COMPUTED_VALUE"""),156.0)</f>
        <v>156</v>
      </c>
      <c r="E2839" s="1">
        <f>IFERROR(__xludf.DUMMYFUNCTION("""COMPUTED_VALUE"""),157.73)</f>
        <v>157.73</v>
      </c>
      <c r="F2839" s="1">
        <f>IFERROR(__xludf.DUMMYFUNCTION("""COMPUTED_VALUE"""),75749.0)</f>
        <v>75749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IFERROR(__xludf.DUMMYFUNCTION("""COMPUTED_VALUE"""),157.55)</f>
        <v>157.55</v>
      </c>
      <c r="C2840" s="1">
        <f>IFERROR(__xludf.DUMMYFUNCTION("""COMPUTED_VALUE"""),159.95)</f>
        <v>159.95</v>
      </c>
      <c r="D2840" s="1">
        <f>IFERROR(__xludf.DUMMYFUNCTION("""COMPUTED_VALUE"""),156.87)</f>
        <v>156.87</v>
      </c>
      <c r="E2840" s="1">
        <f>IFERROR(__xludf.DUMMYFUNCTION("""COMPUTED_VALUE"""),157.34)</f>
        <v>157.34</v>
      </c>
      <c r="F2840" s="1">
        <f>IFERROR(__xludf.DUMMYFUNCTION("""COMPUTED_VALUE"""),56652.0)</f>
        <v>56652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IFERROR(__xludf.DUMMYFUNCTION("""COMPUTED_VALUE"""),157.81)</f>
        <v>157.81</v>
      </c>
      <c r="C2841" s="1">
        <f>IFERROR(__xludf.DUMMYFUNCTION("""COMPUTED_VALUE"""),158.33)</f>
        <v>158.33</v>
      </c>
      <c r="D2841" s="1">
        <f>IFERROR(__xludf.DUMMYFUNCTION("""COMPUTED_VALUE"""),157.1)</f>
        <v>157.1</v>
      </c>
      <c r="E2841" s="1">
        <f>IFERROR(__xludf.DUMMYFUNCTION("""COMPUTED_VALUE"""),157.76)</f>
        <v>157.76</v>
      </c>
      <c r="F2841" s="1">
        <f>IFERROR(__xludf.DUMMYFUNCTION("""COMPUTED_VALUE"""),60426.0)</f>
        <v>60426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IFERROR(__xludf.DUMMYFUNCTION("""COMPUTED_VALUE"""),158.49)</f>
        <v>158.49</v>
      </c>
      <c r="C2842" s="1">
        <f>IFERROR(__xludf.DUMMYFUNCTION("""COMPUTED_VALUE"""),160.03)</f>
        <v>160.03</v>
      </c>
      <c r="D2842" s="1">
        <f>IFERROR(__xludf.DUMMYFUNCTION("""COMPUTED_VALUE"""),157.71)</f>
        <v>157.71</v>
      </c>
      <c r="E2842" s="1">
        <f>IFERROR(__xludf.DUMMYFUNCTION("""COMPUTED_VALUE"""),158.94)</f>
        <v>158.94</v>
      </c>
      <c r="F2842" s="1">
        <f>IFERROR(__xludf.DUMMYFUNCTION("""COMPUTED_VALUE"""),76336.0)</f>
        <v>76336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IFERROR(__xludf.DUMMYFUNCTION("""COMPUTED_VALUE"""),159.0)</f>
        <v>159</v>
      </c>
      <c r="C2843" s="1">
        <f>IFERROR(__xludf.DUMMYFUNCTION("""COMPUTED_VALUE"""),160.75)</f>
        <v>160.75</v>
      </c>
      <c r="D2843" s="1">
        <f>IFERROR(__xludf.DUMMYFUNCTION("""COMPUTED_VALUE"""),158.01)</f>
        <v>158.01</v>
      </c>
      <c r="E2843" s="1">
        <f>IFERROR(__xludf.DUMMYFUNCTION("""COMPUTED_VALUE"""),159.42)</f>
        <v>159.42</v>
      </c>
      <c r="F2843" s="1">
        <f>IFERROR(__xludf.DUMMYFUNCTION("""COMPUTED_VALUE"""),60712.0)</f>
        <v>60712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IFERROR(__xludf.DUMMYFUNCTION("""COMPUTED_VALUE"""),159.18)</f>
        <v>159.18</v>
      </c>
      <c r="C2844" s="1">
        <f>IFERROR(__xludf.DUMMYFUNCTION("""COMPUTED_VALUE"""),160.54)</f>
        <v>160.54</v>
      </c>
      <c r="D2844" s="1">
        <f>IFERROR(__xludf.DUMMYFUNCTION("""COMPUTED_VALUE"""),158.32)</f>
        <v>158.32</v>
      </c>
      <c r="E2844" s="1">
        <f>IFERROR(__xludf.DUMMYFUNCTION("""COMPUTED_VALUE"""),160.14)</f>
        <v>160.14</v>
      </c>
      <c r="F2844" s="1">
        <f>IFERROR(__xludf.DUMMYFUNCTION("""COMPUTED_VALUE"""),68633.0)</f>
        <v>68633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IFERROR(__xludf.DUMMYFUNCTION("""COMPUTED_VALUE"""),160.2)</f>
        <v>160.2</v>
      </c>
      <c r="C2845" s="1">
        <f>IFERROR(__xludf.DUMMYFUNCTION("""COMPUTED_VALUE"""),163.03)</f>
        <v>163.03</v>
      </c>
      <c r="D2845" s="1">
        <f>IFERROR(__xludf.DUMMYFUNCTION("""COMPUTED_VALUE"""),160.16)</f>
        <v>160.16</v>
      </c>
      <c r="E2845" s="1">
        <f>IFERROR(__xludf.DUMMYFUNCTION("""COMPUTED_VALUE"""),161.81)</f>
        <v>161.81</v>
      </c>
      <c r="F2845" s="1">
        <f>IFERROR(__xludf.DUMMYFUNCTION("""COMPUTED_VALUE"""),70823.0)</f>
        <v>70823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IFERROR(__xludf.DUMMYFUNCTION("""COMPUTED_VALUE"""),162.59)</f>
        <v>162.59</v>
      </c>
      <c r="C2846" s="1">
        <f>IFERROR(__xludf.DUMMYFUNCTION("""COMPUTED_VALUE"""),165.89)</f>
        <v>165.89</v>
      </c>
      <c r="D2846" s="1">
        <f>IFERROR(__xludf.DUMMYFUNCTION("""COMPUTED_VALUE"""),161.13)</f>
        <v>161.13</v>
      </c>
      <c r="E2846" s="1">
        <f>IFERROR(__xludf.DUMMYFUNCTION("""COMPUTED_VALUE"""),165.14)</f>
        <v>165.14</v>
      </c>
      <c r="F2846" s="1">
        <f>IFERROR(__xludf.DUMMYFUNCTION("""COMPUTED_VALUE"""),83944.0)</f>
        <v>83944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IFERROR(__xludf.DUMMYFUNCTION("""COMPUTED_VALUE"""),165.8)</f>
        <v>165.8</v>
      </c>
      <c r="C2847" s="1">
        <f>IFERROR(__xludf.DUMMYFUNCTION("""COMPUTED_VALUE"""),167.11)</f>
        <v>167.11</v>
      </c>
      <c r="D2847" s="1">
        <f>IFERROR(__xludf.DUMMYFUNCTION("""COMPUTED_VALUE"""),164.94)</f>
        <v>164.94</v>
      </c>
      <c r="E2847" s="1">
        <f>IFERROR(__xludf.DUMMYFUNCTION("""COMPUTED_VALUE"""),166.38)</f>
        <v>166.38</v>
      </c>
      <c r="F2847" s="1">
        <f>IFERROR(__xludf.DUMMYFUNCTION("""COMPUTED_VALUE"""),63097.0)</f>
        <v>63097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IFERROR(__xludf.DUMMYFUNCTION("""COMPUTED_VALUE"""),167.62)</f>
        <v>167.62</v>
      </c>
      <c r="C2848" s="1">
        <f>IFERROR(__xludf.DUMMYFUNCTION("""COMPUTED_VALUE"""),169.72)</f>
        <v>169.72</v>
      </c>
      <c r="D2848" s="1">
        <f>IFERROR(__xludf.DUMMYFUNCTION("""COMPUTED_VALUE"""),163.23)</f>
        <v>163.23</v>
      </c>
      <c r="E2848" s="1">
        <f>IFERROR(__xludf.DUMMYFUNCTION("""COMPUTED_VALUE"""),164.59)</f>
        <v>164.59</v>
      </c>
      <c r="F2848" s="1">
        <f>IFERROR(__xludf.DUMMYFUNCTION("""COMPUTED_VALUE"""),143030.0)</f>
        <v>143030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IFERROR(__xludf.DUMMYFUNCTION("""COMPUTED_VALUE"""),163.28)</f>
        <v>163.28</v>
      </c>
      <c r="C2849" s="1">
        <f>IFERROR(__xludf.DUMMYFUNCTION("""COMPUTED_VALUE"""),169.88)</f>
        <v>169.88</v>
      </c>
      <c r="D2849" s="1">
        <f>IFERROR(__xludf.DUMMYFUNCTION("""COMPUTED_VALUE"""),159.06)</f>
        <v>159.06</v>
      </c>
      <c r="E2849" s="1">
        <f>IFERROR(__xludf.DUMMYFUNCTION("""COMPUTED_VALUE"""),162.27)</f>
        <v>162.27</v>
      </c>
      <c r="F2849" s="1">
        <f>IFERROR(__xludf.DUMMYFUNCTION("""COMPUTED_VALUE"""),260239.0)</f>
        <v>260239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IFERROR(__xludf.DUMMYFUNCTION("""COMPUTED_VALUE"""),161.06)</f>
        <v>161.06</v>
      </c>
      <c r="C2850" s="1">
        <f>IFERROR(__xludf.DUMMYFUNCTION("""COMPUTED_VALUE"""),166.89)</f>
        <v>166.89</v>
      </c>
      <c r="D2850" s="1">
        <f>IFERROR(__xludf.DUMMYFUNCTION("""COMPUTED_VALUE"""),157.71)</f>
        <v>157.71</v>
      </c>
      <c r="E2850" s="1">
        <f>IFERROR(__xludf.DUMMYFUNCTION("""COMPUTED_VALUE"""),160.41)</f>
        <v>160.41</v>
      </c>
      <c r="F2850" s="1">
        <f>IFERROR(__xludf.DUMMYFUNCTION("""COMPUTED_VALUE"""),705883.0)</f>
        <v>705883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IFERROR(__xludf.DUMMYFUNCTION("""COMPUTED_VALUE"""),160.82)</f>
        <v>160.82</v>
      </c>
      <c r="C2851" s="1">
        <f>IFERROR(__xludf.DUMMYFUNCTION("""COMPUTED_VALUE"""),166.78)</f>
        <v>166.78</v>
      </c>
      <c r="D2851" s="1">
        <f>IFERROR(__xludf.DUMMYFUNCTION("""COMPUTED_VALUE"""),159.91)</f>
        <v>159.91</v>
      </c>
      <c r="E2851" s="1">
        <f>IFERROR(__xludf.DUMMYFUNCTION("""COMPUTED_VALUE"""),164.7)</f>
        <v>164.7</v>
      </c>
      <c r="F2851" s="1">
        <f>IFERROR(__xludf.DUMMYFUNCTION("""COMPUTED_VALUE"""),115028.0)</f>
        <v>115028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IFERROR(__xludf.DUMMYFUNCTION("""COMPUTED_VALUE"""),163.7)</f>
        <v>163.7</v>
      </c>
      <c r="C2852" s="1">
        <f>IFERROR(__xludf.DUMMYFUNCTION("""COMPUTED_VALUE"""),165.92)</f>
        <v>165.92</v>
      </c>
      <c r="D2852" s="1">
        <f>IFERROR(__xludf.DUMMYFUNCTION("""COMPUTED_VALUE"""),163.58)</f>
        <v>163.58</v>
      </c>
      <c r="E2852" s="1">
        <f>IFERROR(__xludf.DUMMYFUNCTION("""COMPUTED_VALUE"""),164.61)</f>
        <v>164.61</v>
      </c>
      <c r="F2852" s="1">
        <f>IFERROR(__xludf.DUMMYFUNCTION("""COMPUTED_VALUE"""),145006.0)</f>
        <v>145006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IFERROR(__xludf.DUMMYFUNCTION("""COMPUTED_VALUE"""),165.42)</f>
        <v>165.42</v>
      </c>
      <c r="C2853" s="1">
        <f>IFERROR(__xludf.DUMMYFUNCTION("""COMPUTED_VALUE"""),167.5)</f>
        <v>167.5</v>
      </c>
      <c r="D2853" s="1">
        <f>IFERROR(__xludf.DUMMYFUNCTION("""COMPUTED_VALUE"""),164.11)</f>
        <v>164.11</v>
      </c>
      <c r="E2853" s="1">
        <f>IFERROR(__xludf.DUMMYFUNCTION("""COMPUTED_VALUE"""),166.27)</f>
        <v>166.27</v>
      </c>
      <c r="F2853" s="1">
        <f>IFERROR(__xludf.DUMMYFUNCTION("""COMPUTED_VALUE"""),109853.0)</f>
        <v>109853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IFERROR(__xludf.DUMMYFUNCTION("""COMPUTED_VALUE"""),166.47)</f>
        <v>166.47</v>
      </c>
      <c r="C2854" s="1">
        <f>IFERROR(__xludf.DUMMYFUNCTION("""COMPUTED_VALUE"""),166.55)</f>
        <v>166.55</v>
      </c>
      <c r="D2854" s="1">
        <f>IFERROR(__xludf.DUMMYFUNCTION("""COMPUTED_VALUE"""),163.83)</f>
        <v>163.83</v>
      </c>
      <c r="E2854" s="1">
        <f>IFERROR(__xludf.DUMMYFUNCTION("""COMPUTED_VALUE"""),165.14)</f>
        <v>165.14</v>
      </c>
      <c r="F2854" s="1">
        <f>IFERROR(__xludf.DUMMYFUNCTION("""COMPUTED_VALUE"""),50927.0)</f>
        <v>50927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IFERROR(__xludf.DUMMYFUNCTION("""COMPUTED_VALUE"""),165.61)</f>
        <v>165.61</v>
      </c>
      <c r="C2855" s="1">
        <f>IFERROR(__xludf.DUMMYFUNCTION("""COMPUTED_VALUE"""),167.1)</f>
        <v>167.1</v>
      </c>
      <c r="D2855" s="1">
        <f>IFERROR(__xludf.DUMMYFUNCTION("""COMPUTED_VALUE"""),164.25)</f>
        <v>164.25</v>
      </c>
      <c r="E2855" s="1">
        <f>IFERROR(__xludf.DUMMYFUNCTION("""COMPUTED_VALUE"""),166.44)</f>
        <v>166.44</v>
      </c>
      <c r="F2855" s="1">
        <f>IFERROR(__xludf.DUMMYFUNCTION("""COMPUTED_VALUE"""),71821.0)</f>
        <v>71821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IFERROR(__xludf.DUMMYFUNCTION("""COMPUTED_VALUE"""),166.84)</f>
        <v>166.84</v>
      </c>
      <c r="C2856" s="1">
        <f>IFERROR(__xludf.DUMMYFUNCTION("""COMPUTED_VALUE"""),168.29)</f>
        <v>168.29</v>
      </c>
      <c r="D2856" s="1">
        <f>IFERROR(__xludf.DUMMYFUNCTION("""COMPUTED_VALUE"""),164.75)</f>
        <v>164.75</v>
      </c>
      <c r="E2856" s="1">
        <f>IFERROR(__xludf.DUMMYFUNCTION("""COMPUTED_VALUE"""),166.38)</f>
        <v>166.38</v>
      </c>
      <c r="F2856" s="1">
        <f>IFERROR(__xludf.DUMMYFUNCTION("""COMPUTED_VALUE"""),73880.0)</f>
        <v>73880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IFERROR(__xludf.DUMMYFUNCTION("""COMPUTED_VALUE"""),165.66)</f>
        <v>165.66</v>
      </c>
      <c r="C2857" s="1">
        <f>IFERROR(__xludf.DUMMYFUNCTION("""COMPUTED_VALUE"""),168.44)</f>
        <v>168.44</v>
      </c>
      <c r="D2857" s="1">
        <f>IFERROR(__xludf.DUMMYFUNCTION("""COMPUTED_VALUE"""),165.35)</f>
        <v>165.35</v>
      </c>
      <c r="E2857" s="1">
        <f>IFERROR(__xludf.DUMMYFUNCTION("""COMPUTED_VALUE"""),168.25)</f>
        <v>168.25</v>
      </c>
      <c r="F2857" s="1">
        <f>IFERROR(__xludf.DUMMYFUNCTION("""COMPUTED_VALUE"""),46711.0)</f>
        <v>46711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IFERROR(__xludf.DUMMYFUNCTION("""COMPUTED_VALUE"""),167.79)</f>
        <v>167.79</v>
      </c>
      <c r="C2858" s="1">
        <f>IFERROR(__xludf.DUMMYFUNCTION("""COMPUTED_VALUE"""),169.5)</f>
        <v>169.5</v>
      </c>
      <c r="D2858" s="1">
        <f>IFERROR(__xludf.DUMMYFUNCTION("""COMPUTED_VALUE"""),166.61)</f>
        <v>166.61</v>
      </c>
      <c r="E2858" s="1">
        <f>IFERROR(__xludf.DUMMYFUNCTION("""COMPUTED_VALUE"""),166.75)</f>
        <v>166.75</v>
      </c>
      <c r="F2858" s="1">
        <f>IFERROR(__xludf.DUMMYFUNCTION("""COMPUTED_VALUE"""),62260.0)</f>
        <v>62260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IFERROR(__xludf.DUMMYFUNCTION("""COMPUTED_VALUE"""),165.95)</f>
        <v>165.95</v>
      </c>
      <c r="C2859" s="1">
        <f>IFERROR(__xludf.DUMMYFUNCTION("""COMPUTED_VALUE"""),166.48)</f>
        <v>166.48</v>
      </c>
      <c r="D2859" s="1">
        <f>IFERROR(__xludf.DUMMYFUNCTION("""COMPUTED_VALUE"""),164.12)</f>
        <v>164.12</v>
      </c>
      <c r="E2859" s="1">
        <f>IFERROR(__xludf.DUMMYFUNCTION("""COMPUTED_VALUE"""),165.56)</f>
        <v>165.56</v>
      </c>
      <c r="F2859" s="1">
        <f>IFERROR(__xludf.DUMMYFUNCTION("""COMPUTED_VALUE"""),40123.0)</f>
        <v>40123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IFERROR(__xludf.DUMMYFUNCTION("""COMPUTED_VALUE"""),165.41)</f>
        <v>165.41</v>
      </c>
      <c r="C2860" s="1">
        <f>IFERROR(__xludf.DUMMYFUNCTION("""COMPUTED_VALUE"""),166.33)</f>
        <v>166.33</v>
      </c>
      <c r="D2860" s="1">
        <f>IFERROR(__xludf.DUMMYFUNCTION("""COMPUTED_VALUE"""),163.58)</f>
        <v>163.58</v>
      </c>
      <c r="E2860" s="1">
        <f>IFERROR(__xludf.DUMMYFUNCTION("""COMPUTED_VALUE"""),164.51)</f>
        <v>164.51</v>
      </c>
      <c r="F2860" s="1">
        <f>IFERROR(__xludf.DUMMYFUNCTION("""COMPUTED_VALUE"""),41888.0)</f>
        <v>41888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IFERROR(__xludf.DUMMYFUNCTION("""COMPUTED_VALUE"""),165.33)</f>
        <v>165.33</v>
      </c>
      <c r="C2861" s="1">
        <f>IFERROR(__xludf.DUMMYFUNCTION("""COMPUTED_VALUE"""),169.76)</f>
        <v>169.76</v>
      </c>
      <c r="D2861" s="1">
        <f>IFERROR(__xludf.DUMMYFUNCTION("""COMPUTED_VALUE"""),165.0)</f>
        <v>165</v>
      </c>
      <c r="E2861" s="1">
        <f>IFERROR(__xludf.DUMMYFUNCTION("""COMPUTED_VALUE"""),169.32)</f>
        <v>169.32</v>
      </c>
      <c r="F2861" s="1">
        <f>IFERROR(__xludf.DUMMYFUNCTION("""COMPUTED_VALUE"""),76780.0)</f>
        <v>76780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IFERROR(__xludf.DUMMYFUNCTION("""COMPUTED_VALUE"""),169.24)</f>
        <v>169.24</v>
      </c>
      <c r="C2862" s="1">
        <f>IFERROR(__xludf.DUMMYFUNCTION("""COMPUTED_VALUE"""),174.14)</f>
        <v>174.14</v>
      </c>
      <c r="D2862" s="1">
        <f>IFERROR(__xludf.DUMMYFUNCTION("""COMPUTED_VALUE"""),168.52)</f>
        <v>168.52</v>
      </c>
      <c r="E2862" s="1">
        <f>IFERROR(__xludf.DUMMYFUNCTION("""COMPUTED_VALUE"""),173.95)</f>
        <v>173.95</v>
      </c>
      <c r="F2862" s="1">
        <f>IFERROR(__xludf.DUMMYFUNCTION("""COMPUTED_VALUE"""),98489.0)</f>
        <v>98489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IFERROR(__xludf.DUMMYFUNCTION("""COMPUTED_VALUE"""),173.8)</f>
        <v>173.8</v>
      </c>
      <c r="C2863" s="1">
        <f>IFERROR(__xludf.DUMMYFUNCTION("""COMPUTED_VALUE"""),174.93)</f>
        <v>174.93</v>
      </c>
      <c r="D2863" s="1">
        <f>IFERROR(__xludf.DUMMYFUNCTION("""COMPUTED_VALUE"""),168.79)</f>
        <v>168.79</v>
      </c>
      <c r="E2863" s="1">
        <f>IFERROR(__xludf.DUMMYFUNCTION("""COMPUTED_VALUE"""),169.23)</f>
        <v>169.23</v>
      </c>
      <c r="F2863" s="1">
        <f>IFERROR(__xludf.DUMMYFUNCTION("""COMPUTED_VALUE"""),67008.0)</f>
        <v>67008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IFERROR(__xludf.DUMMYFUNCTION("""COMPUTED_VALUE"""),168.98)</f>
        <v>168.98</v>
      </c>
      <c r="C2864" s="1">
        <f>IFERROR(__xludf.DUMMYFUNCTION("""COMPUTED_VALUE"""),171.53)</f>
        <v>171.53</v>
      </c>
      <c r="D2864" s="1">
        <f>IFERROR(__xludf.DUMMYFUNCTION("""COMPUTED_VALUE"""),167.61)</f>
        <v>167.61</v>
      </c>
      <c r="E2864" s="1">
        <f>IFERROR(__xludf.DUMMYFUNCTION("""COMPUTED_VALUE"""),169.19)</f>
        <v>169.19</v>
      </c>
      <c r="F2864" s="1">
        <f>IFERROR(__xludf.DUMMYFUNCTION("""COMPUTED_VALUE"""),63631.0)</f>
        <v>63631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IFERROR(__xludf.DUMMYFUNCTION("""COMPUTED_VALUE"""),168.51)</f>
        <v>168.51</v>
      </c>
      <c r="C2865" s="1">
        <f>IFERROR(__xludf.DUMMYFUNCTION("""COMPUTED_VALUE"""),168.74)</f>
        <v>168.74</v>
      </c>
      <c r="D2865" s="1">
        <f>IFERROR(__xludf.DUMMYFUNCTION("""COMPUTED_VALUE"""),166.86)</f>
        <v>166.86</v>
      </c>
      <c r="E2865" s="1">
        <f>IFERROR(__xludf.DUMMYFUNCTION("""COMPUTED_VALUE"""),168.26)</f>
        <v>168.26</v>
      </c>
      <c r="F2865" s="1">
        <f>IFERROR(__xludf.DUMMYFUNCTION("""COMPUTED_VALUE"""),37486.0)</f>
        <v>37486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IFERROR(__xludf.DUMMYFUNCTION("""COMPUTED_VALUE"""),168.15)</f>
        <v>168.15</v>
      </c>
      <c r="C2866" s="1">
        <f>IFERROR(__xludf.DUMMYFUNCTION("""COMPUTED_VALUE"""),171.27)</f>
        <v>171.27</v>
      </c>
      <c r="D2866" s="1">
        <f>IFERROR(__xludf.DUMMYFUNCTION("""COMPUTED_VALUE"""),167.61)</f>
        <v>167.61</v>
      </c>
      <c r="E2866" s="1">
        <f>IFERROR(__xludf.DUMMYFUNCTION("""COMPUTED_VALUE"""),169.51)</f>
        <v>169.51</v>
      </c>
      <c r="F2866" s="1">
        <f>IFERROR(__xludf.DUMMYFUNCTION("""COMPUTED_VALUE"""),78362.0)</f>
        <v>78362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IFERROR(__xludf.DUMMYFUNCTION("""COMPUTED_VALUE"""),170.25)</f>
        <v>170.25</v>
      </c>
      <c r="C2867" s="1">
        <f>IFERROR(__xludf.DUMMYFUNCTION("""COMPUTED_VALUE"""),171.79)</f>
        <v>171.79</v>
      </c>
      <c r="D2867" s="1">
        <f>IFERROR(__xludf.DUMMYFUNCTION("""COMPUTED_VALUE"""),168.76)</f>
        <v>168.76</v>
      </c>
      <c r="E2867" s="1">
        <f>IFERROR(__xludf.DUMMYFUNCTION("""COMPUTED_VALUE"""),170.7)</f>
        <v>170.7</v>
      </c>
      <c r="F2867" s="1">
        <f>IFERROR(__xludf.DUMMYFUNCTION("""COMPUTED_VALUE"""),53988.0)</f>
        <v>53988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IFERROR(__xludf.DUMMYFUNCTION("""COMPUTED_VALUE"""),170.33)</f>
        <v>170.33</v>
      </c>
      <c r="C2868" s="1">
        <f>IFERROR(__xludf.DUMMYFUNCTION("""COMPUTED_VALUE"""),173.67)</f>
        <v>173.67</v>
      </c>
      <c r="D2868" s="1">
        <f>IFERROR(__xludf.DUMMYFUNCTION("""COMPUTED_VALUE"""),169.91)</f>
        <v>169.91</v>
      </c>
      <c r="E2868" s="1">
        <f>IFERROR(__xludf.DUMMYFUNCTION("""COMPUTED_VALUE"""),172.49)</f>
        <v>172.49</v>
      </c>
      <c r="F2868" s="1">
        <f>IFERROR(__xludf.DUMMYFUNCTION("""COMPUTED_VALUE"""),92844.0)</f>
        <v>92844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IFERROR(__xludf.DUMMYFUNCTION("""COMPUTED_VALUE"""),172.22)</f>
        <v>172.22</v>
      </c>
      <c r="C2869" s="1">
        <f>IFERROR(__xludf.DUMMYFUNCTION("""COMPUTED_VALUE"""),173.33)</f>
        <v>173.33</v>
      </c>
      <c r="D2869" s="1">
        <f>IFERROR(__xludf.DUMMYFUNCTION("""COMPUTED_VALUE"""),171.04)</f>
        <v>171.04</v>
      </c>
      <c r="E2869" s="1">
        <f>IFERROR(__xludf.DUMMYFUNCTION("""COMPUTED_VALUE"""),171.73)</f>
        <v>171.73</v>
      </c>
      <c r="F2869" s="1">
        <f>IFERROR(__xludf.DUMMYFUNCTION("""COMPUTED_VALUE"""),63878.0)</f>
        <v>63878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IFERROR(__xludf.DUMMYFUNCTION("""COMPUTED_VALUE"""),171.44)</f>
        <v>171.44</v>
      </c>
      <c r="C2870" s="1">
        <f>IFERROR(__xludf.DUMMYFUNCTION("""COMPUTED_VALUE"""),173.64)</f>
        <v>173.64</v>
      </c>
      <c r="D2870" s="1">
        <f>IFERROR(__xludf.DUMMYFUNCTION("""COMPUTED_VALUE"""),170.51)</f>
        <v>170.51</v>
      </c>
      <c r="E2870" s="1">
        <f>IFERROR(__xludf.DUMMYFUNCTION("""COMPUTED_VALUE"""),173.18)</f>
        <v>173.18</v>
      </c>
      <c r="F2870" s="1">
        <f>IFERROR(__xludf.DUMMYFUNCTION("""COMPUTED_VALUE"""),63585.0)</f>
        <v>63585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IFERROR(__xludf.DUMMYFUNCTION("""COMPUTED_VALUE"""),173.27)</f>
        <v>173.27</v>
      </c>
      <c r="C2871" s="1">
        <f>IFERROR(__xludf.DUMMYFUNCTION("""COMPUTED_VALUE"""),176.52)</f>
        <v>176.52</v>
      </c>
      <c r="D2871" s="1">
        <f>IFERROR(__xludf.DUMMYFUNCTION("""COMPUTED_VALUE"""),173.27)</f>
        <v>173.27</v>
      </c>
      <c r="E2871" s="1">
        <f>IFERROR(__xludf.DUMMYFUNCTION("""COMPUTED_VALUE"""),175.08)</f>
        <v>175.08</v>
      </c>
      <c r="F2871" s="1">
        <f>IFERROR(__xludf.DUMMYFUNCTION("""COMPUTED_VALUE"""),129883.0)</f>
        <v>129883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IFERROR(__xludf.DUMMYFUNCTION("""COMPUTED_VALUE"""),175.52)</f>
        <v>175.52</v>
      </c>
      <c r="C2872" s="1">
        <f>IFERROR(__xludf.DUMMYFUNCTION("""COMPUTED_VALUE"""),178.46)</f>
        <v>178.46</v>
      </c>
      <c r="D2872" s="1">
        <f>IFERROR(__xludf.DUMMYFUNCTION("""COMPUTED_VALUE"""),175.3)</f>
        <v>175.3</v>
      </c>
      <c r="E2872" s="1">
        <f>IFERROR(__xludf.DUMMYFUNCTION("""COMPUTED_VALUE"""),175.58)</f>
        <v>175.58</v>
      </c>
      <c r="F2872" s="1">
        <f>IFERROR(__xludf.DUMMYFUNCTION("""COMPUTED_VALUE"""),65277.0)</f>
        <v>65277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IFERROR(__xludf.DUMMYFUNCTION("""COMPUTED_VALUE"""),175.77)</f>
        <v>175.77</v>
      </c>
      <c r="C2873" s="1">
        <f>IFERROR(__xludf.DUMMYFUNCTION("""COMPUTED_VALUE"""),179.17)</f>
        <v>179.17</v>
      </c>
      <c r="D2873" s="1">
        <f>IFERROR(__xludf.DUMMYFUNCTION("""COMPUTED_VALUE"""),172.73)</f>
        <v>172.73</v>
      </c>
      <c r="E2873" s="1">
        <f>IFERROR(__xludf.DUMMYFUNCTION("""COMPUTED_VALUE"""),177.63)</f>
        <v>177.63</v>
      </c>
      <c r="F2873" s="1">
        <f>IFERROR(__xludf.DUMMYFUNCTION("""COMPUTED_VALUE"""),121825.0)</f>
        <v>121825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IFERROR(__xludf.DUMMYFUNCTION("""COMPUTED_VALUE"""),178.7)</f>
        <v>178.7</v>
      </c>
      <c r="C2874" s="1">
        <f>IFERROR(__xludf.DUMMYFUNCTION("""COMPUTED_VALUE"""),181.71)</f>
        <v>181.71</v>
      </c>
      <c r="D2874" s="1">
        <f>IFERROR(__xludf.DUMMYFUNCTION("""COMPUTED_VALUE"""),178.44)</f>
        <v>178.44</v>
      </c>
      <c r="E2874" s="1">
        <f>IFERROR(__xludf.DUMMYFUNCTION("""COMPUTED_VALUE"""),179.26)</f>
        <v>179.26</v>
      </c>
      <c r="F2874" s="1">
        <f>IFERROR(__xludf.DUMMYFUNCTION("""COMPUTED_VALUE"""),194580.0)</f>
        <v>194580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IFERROR(__xludf.DUMMYFUNCTION("""COMPUTED_VALUE"""),178.64)</f>
        <v>178.64</v>
      </c>
      <c r="C2875" s="1">
        <f>IFERROR(__xludf.DUMMYFUNCTION("""COMPUTED_VALUE"""),180.36)</f>
        <v>180.36</v>
      </c>
      <c r="D2875" s="1">
        <f>IFERROR(__xludf.DUMMYFUNCTION("""COMPUTED_VALUE"""),177.21)</f>
        <v>177.21</v>
      </c>
      <c r="E2875" s="1">
        <f>IFERROR(__xludf.DUMMYFUNCTION("""COMPUTED_VALUE"""),180.36)</f>
        <v>180.36</v>
      </c>
      <c r="F2875" s="1">
        <f>IFERROR(__xludf.DUMMYFUNCTION("""COMPUTED_VALUE"""),64107.0)</f>
        <v>64107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IFERROR(__xludf.DUMMYFUNCTION("""COMPUTED_VALUE"""),180.18)</f>
        <v>180.18</v>
      </c>
      <c r="C2876" s="1">
        <f>IFERROR(__xludf.DUMMYFUNCTION("""COMPUTED_VALUE"""),181.35)</f>
        <v>181.35</v>
      </c>
      <c r="D2876" s="1">
        <f>IFERROR(__xludf.DUMMYFUNCTION("""COMPUTED_VALUE"""),177.87)</f>
        <v>177.87</v>
      </c>
      <c r="E2876" s="1">
        <f>IFERROR(__xludf.DUMMYFUNCTION("""COMPUTED_VALUE"""),179.46)</f>
        <v>179.46</v>
      </c>
      <c r="F2876" s="1">
        <f>IFERROR(__xludf.DUMMYFUNCTION("""COMPUTED_VALUE"""),40741.0)</f>
        <v>40741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IFERROR(__xludf.DUMMYFUNCTION("""COMPUTED_VALUE"""),179.5)</f>
        <v>179.5</v>
      </c>
      <c r="C2877" s="1">
        <f>IFERROR(__xludf.DUMMYFUNCTION("""COMPUTED_VALUE"""),180.76)</f>
        <v>180.76</v>
      </c>
      <c r="D2877" s="1">
        <f>IFERROR(__xludf.DUMMYFUNCTION("""COMPUTED_VALUE"""),179.45)</f>
        <v>179.45</v>
      </c>
      <c r="E2877" s="1">
        <f>IFERROR(__xludf.DUMMYFUNCTION("""COMPUTED_VALUE"""),180.09)</f>
        <v>180.09</v>
      </c>
      <c r="F2877" s="1">
        <f>IFERROR(__xludf.DUMMYFUNCTION("""COMPUTED_VALUE"""),47310.0)</f>
        <v>47310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IFERROR(__xludf.DUMMYFUNCTION("""COMPUTED_VALUE"""),180.35)</f>
        <v>180.35</v>
      </c>
      <c r="C2878" s="1">
        <f>IFERROR(__xludf.DUMMYFUNCTION("""COMPUTED_VALUE"""),180.92)</f>
        <v>180.92</v>
      </c>
      <c r="D2878" s="1">
        <f>IFERROR(__xludf.DUMMYFUNCTION("""COMPUTED_VALUE"""),178.13)</f>
        <v>178.13</v>
      </c>
      <c r="E2878" s="1">
        <f>IFERROR(__xludf.DUMMYFUNCTION("""COMPUTED_VALUE"""),178.31)</f>
        <v>178.31</v>
      </c>
      <c r="F2878" s="1">
        <f>IFERROR(__xludf.DUMMYFUNCTION("""COMPUTED_VALUE"""),49096.0)</f>
        <v>49096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IFERROR(__xludf.DUMMYFUNCTION("""COMPUTED_VALUE"""),178.31)</f>
        <v>178.31</v>
      </c>
      <c r="C2879" s="1">
        <f>IFERROR(__xludf.DUMMYFUNCTION("""COMPUTED_VALUE"""),178.48)</f>
        <v>178.48</v>
      </c>
      <c r="D2879" s="1">
        <f>IFERROR(__xludf.DUMMYFUNCTION("""COMPUTED_VALUE"""),175.67)</f>
        <v>175.67</v>
      </c>
      <c r="E2879" s="1">
        <f>IFERROR(__xludf.DUMMYFUNCTION("""COMPUTED_VALUE"""),176.17)</f>
        <v>176.17</v>
      </c>
      <c r="F2879" s="1">
        <f>IFERROR(__xludf.DUMMYFUNCTION("""COMPUTED_VALUE"""),48463.0)</f>
        <v>48463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IFERROR(__xludf.DUMMYFUNCTION("""COMPUTED_VALUE"""),176.84)</f>
        <v>176.84</v>
      </c>
      <c r="C2880" s="1">
        <f>IFERROR(__xludf.DUMMYFUNCTION("""COMPUTED_VALUE"""),176.84)</f>
        <v>176.84</v>
      </c>
      <c r="D2880" s="1">
        <f>IFERROR(__xludf.DUMMYFUNCTION("""COMPUTED_VALUE"""),174.3)</f>
        <v>174.3</v>
      </c>
      <c r="E2880" s="1">
        <f>IFERROR(__xludf.DUMMYFUNCTION("""COMPUTED_VALUE"""),175.72)</f>
        <v>175.72</v>
      </c>
      <c r="F2880" s="1">
        <f>IFERROR(__xludf.DUMMYFUNCTION("""COMPUTED_VALUE"""),54577.0)</f>
        <v>54577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IFERROR(__xludf.DUMMYFUNCTION("""COMPUTED_VALUE"""),175.76)</f>
        <v>175.76</v>
      </c>
      <c r="C2881" s="1">
        <f>IFERROR(__xludf.DUMMYFUNCTION("""COMPUTED_VALUE"""),176.2)</f>
        <v>176.2</v>
      </c>
      <c r="D2881" s="1">
        <f>IFERROR(__xludf.DUMMYFUNCTION("""COMPUTED_VALUE"""),174.84)</f>
        <v>174.84</v>
      </c>
      <c r="E2881" s="1">
        <f>IFERROR(__xludf.DUMMYFUNCTION("""COMPUTED_VALUE"""),176.11)</f>
        <v>176.11</v>
      </c>
      <c r="F2881" s="1">
        <f>IFERROR(__xludf.DUMMYFUNCTION("""COMPUTED_VALUE"""),30651.0)</f>
        <v>30651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IFERROR(__xludf.DUMMYFUNCTION("""COMPUTED_VALUE"""),176.75)</f>
        <v>176.75</v>
      </c>
      <c r="C2882" s="1">
        <f>IFERROR(__xludf.DUMMYFUNCTION("""COMPUTED_VALUE"""),176.75)</f>
        <v>176.75</v>
      </c>
      <c r="D2882" s="1">
        <f>IFERROR(__xludf.DUMMYFUNCTION("""COMPUTED_VALUE"""),174.48)</f>
        <v>174.48</v>
      </c>
      <c r="E2882" s="1">
        <f>IFERROR(__xludf.DUMMYFUNCTION("""COMPUTED_VALUE"""),176.56)</f>
        <v>176.56</v>
      </c>
      <c r="F2882" s="1">
        <f>IFERROR(__xludf.DUMMYFUNCTION("""COMPUTED_VALUE"""),60581.0)</f>
        <v>60581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IFERROR(__xludf.DUMMYFUNCTION("""COMPUTED_VALUE"""),177.33)</f>
        <v>177.33</v>
      </c>
      <c r="C2883" s="1">
        <f>IFERROR(__xludf.DUMMYFUNCTION("""COMPUTED_VALUE"""),178.03)</f>
        <v>178.03</v>
      </c>
      <c r="D2883" s="1">
        <f>IFERROR(__xludf.DUMMYFUNCTION("""COMPUTED_VALUE"""),176.2)</f>
        <v>176.2</v>
      </c>
      <c r="E2883" s="1">
        <f>IFERROR(__xludf.DUMMYFUNCTION("""COMPUTED_VALUE"""),177.97)</f>
        <v>177.97</v>
      </c>
      <c r="F2883" s="1">
        <f>IFERROR(__xludf.DUMMYFUNCTION("""COMPUTED_VALUE"""),175223.0)</f>
        <v>175223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IFERROR(__xludf.DUMMYFUNCTION("""COMPUTED_VALUE"""),177.3)</f>
        <v>177.3</v>
      </c>
      <c r="C2884" s="1">
        <f>IFERROR(__xludf.DUMMYFUNCTION("""COMPUTED_VALUE"""),178.35)</f>
        <v>178.35</v>
      </c>
      <c r="D2884" s="1">
        <f>IFERROR(__xludf.DUMMYFUNCTION("""COMPUTED_VALUE"""),176.21)</f>
        <v>176.21</v>
      </c>
      <c r="E2884" s="1">
        <f>IFERROR(__xludf.DUMMYFUNCTION("""COMPUTED_VALUE"""),176.33)</f>
        <v>176.33</v>
      </c>
      <c r="F2884" s="1">
        <f>IFERROR(__xludf.DUMMYFUNCTION("""COMPUTED_VALUE"""),67946.0)</f>
        <v>67946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IFERROR(__xludf.DUMMYFUNCTION("""COMPUTED_VALUE"""),176.8)</f>
        <v>176.8</v>
      </c>
      <c r="C2885" s="1">
        <f>IFERROR(__xludf.DUMMYFUNCTION("""COMPUTED_VALUE"""),177.25)</f>
        <v>177.25</v>
      </c>
      <c r="D2885" s="1">
        <f>IFERROR(__xludf.DUMMYFUNCTION("""COMPUTED_VALUE"""),175.37)</f>
        <v>175.37</v>
      </c>
      <c r="E2885" s="1">
        <f>IFERROR(__xludf.DUMMYFUNCTION("""COMPUTED_VALUE"""),176.4)</f>
        <v>176.4</v>
      </c>
      <c r="F2885" s="1">
        <f>IFERROR(__xludf.DUMMYFUNCTION("""COMPUTED_VALUE"""),46235.0)</f>
        <v>46235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IFERROR(__xludf.DUMMYFUNCTION("""COMPUTED_VALUE"""),174.93)</f>
        <v>174.93</v>
      </c>
      <c r="C2886" s="1">
        <f>IFERROR(__xludf.DUMMYFUNCTION("""COMPUTED_VALUE"""),174.93)</f>
        <v>174.93</v>
      </c>
      <c r="D2886" s="1">
        <f>IFERROR(__xludf.DUMMYFUNCTION("""COMPUTED_VALUE"""),172.29)</f>
        <v>172.29</v>
      </c>
      <c r="E2886" s="1">
        <f>IFERROR(__xludf.DUMMYFUNCTION("""COMPUTED_VALUE"""),172.93)</f>
        <v>172.93</v>
      </c>
      <c r="F2886" s="1">
        <f>IFERROR(__xludf.DUMMYFUNCTION("""COMPUTED_VALUE"""),141090.0)</f>
        <v>141090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IFERROR(__xludf.DUMMYFUNCTION("""COMPUTED_VALUE"""),173.74)</f>
        <v>173.74</v>
      </c>
      <c r="C2887" s="1">
        <f>IFERROR(__xludf.DUMMYFUNCTION("""COMPUTED_VALUE"""),174.41)</f>
        <v>174.41</v>
      </c>
      <c r="D2887" s="1">
        <f>IFERROR(__xludf.DUMMYFUNCTION("""COMPUTED_VALUE"""),171.73)</f>
        <v>171.73</v>
      </c>
      <c r="E2887" s="1">
        <f>IFERROR(__xludf.DUMMYFUNCTION("""COMPUTED_VALUE"""),173.37)</f>
        <v>173.37</v>
      </c>
      <c r="F2887" s="1">
        <f>IFERROR(__xludf.DUMMYFUNCTION("""COMPUTED_VALUE"""),81302.0)</f>
        <v>81302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IFERROR(__xludf.DUMMYFUNCTION("""COMPUTED_VALUE"""),172.95)</f>
        <v>172.95</v>
      </c>
      <c r="C2888" s="1">
        <f>IFERROR(__xludf.DUMMYFUNCTION("""COMPUTED_VALUE"""),175.02)</f>
        <v>175.02</v>
      </c>
      <c r="D2888" s="1">
        <f>IFERROR(__xludf.DUMMYFUNCTION("""COMPUTED_VALUE"""),172.03)</f>
        <v>172.03</v>
      </c>
      <c r="E2888" s="1">
        <f>IFERROR(__xludf.DUMMYFUNCTION("""COMPUTED_VALUE"""),174.46)</f>
        <v>174.46</v>
      </c>
      <c r="F2888" s="1">
        <f>IFERROR(__xludf.DUMMYFUNCTION("""COMPUTED_VALUE"""),59946.0)</f>
        <v>59946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IFERROR(__xludf.DUMMYFUNCTION("""COMPUTED_VALUE"""),174.08)</f>
        <v>174.08</v>
      </c>
      <c r="C2889" s="1">
        <f>IFERROR(__xludf.DUMMYFUNCTION("""COMPUTED_VALUE"""),175.4)</f>
        <v>175.4</v>
      </c>
      <c r="D2889" s="1">
        <f>IFERROR(__xludf.DUMMYFUNCTION("""COMPUTED_VALUE"""),173.3)</f>
        <v>173.3</v>
      </c>
      <c r="E2889" s="1">
        <f>IFERROR(__xludf.DUMMYFUNCTION("""COMPUTED_VALUE"""),173.96)</f>
        <v>173.96</v>
      </c>
      <c r="F2889" s="1">
        <f>IFERROR(__xludf.DUMMYFUNCTION("""COMPUTED_VALUE"""),93475.0)</f>
        <v>93475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IFERROR(__xludf.DUMMYFUNCTION("""COMPUTED_VALUE"""),174.91)</f>
        <v>174.91</v>
      </c>
      <c r="C2890" s="1">
        <f>IFERROR(__xludf.DUMMYFUNCTION("""COMPUTED_VALUE"""),176.54)</f>
        <v>176.54</v>
      </c>
      <c r="D2890" s="1">
        <f>IFERROR(__xludf.DUMMYFUNCTION("""COMPUTED_VALUE"""),174.31)</f>
        <v>174.31</v>
      </c>
      <c r="E2890" s="1">
        <f>IFERROR(__xludf.DUMMYFUNCTION("""COMPUTED_VALUE"""),175.84)</f>
        <v>175.84</v>
      </c>
      <c r="F2890" s="1">
        <f>IFERROR(__xludf.DUMMYFUNCTION("""COMPUTED_VALUE"""),51311.0)</f>
        <v>51311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IFERROR(__xludf.DUMMYFUNCTION("""COMPUTED_VALUE"""),175.41)</f>
        <v>175.41</v>
      </c>
      <c r="C2891" s="1">
        <f>IFERROR(__xludf.DUMMYFUNCTION("""COMPUTED_VALUE"""),178.56)</f>
        <v>178.56</v>
      </c>
      <c r="D2891" s="1">
        <f>IFERROR(__xludf.DUMMYFUNCTION("""COMPUTED_VALUE"""),172.12)</f>
        <v>172.12</v>
      </c>
      <c r="E2891" s="1">
        <f>IFERROR(__xludf.DUMMYFUNCTION("""COMPUTED_VALUE"""),175.1)</f>
        <v>175.1</v>
      </c>
      <c r="F2891" s="1">
        <f>IFERROR(__xludf.DUMMYFUNCTION("""COMPUTED_VALUE"""),614729.0)</f>
        <v>614729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IFERROR(__xludf.DUMMYFUNCTION("""COMPUTED_VALUE"""),175.56)</f>
        <v>175.56</v>
      </c>
      <c r="C2892" s="1">
        <f>IFERROR(__xludf.DUMMYFUNCTION("""COMPUTED_VALUE"""),176.15)</f>
        <v>176.15</v>
      </c>
      <c r="D2892" s="1">
        <f>IFERROR(__xludf.DUMMYFUNCTION("""COMPUTED_VALUE"""),172.78)</f>
        <v>172.78</v>
      </c>
      <c r="E2892" s="1">
        <f>IFERROR(__xludf.DUMMYFUNCTION("""COMPUTED_VALUE"""),173.9)</f>
        <v>173.9</v>
      </c>
      <c r="F2892" s="1">
        <f>IFERROR(__xludf.DUMMYFUNCTION("""COMPUTED_VALUE"""),65285.0)</f>
        <v>65285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IFERROR(__xludf.DUMMYFUNCTION("""COMPUTED_VALUE"""),173.44)</f>
        <v>173.44</v>
      </c>
      <c r="C2893" s="1">
        <f>IFERROR(__xludf.DUMMYFUNCTION("""COMPUTED_VALUE"""),174.44)</f>
        <v>174.44</v>
      </c>
      <c r="D2893" s="1">
        <f>IFERROR(__xludf.DUMMYFUNCTION("""COMPUTED_VALUE"""),170.86)</f>
        <v>170.86</v>
      </c>
      <c r="E2893" s="1">
        <f>IFERROR(__xludf.DUMMYFUNCTION("""COMPUTED_VALUE"""),172.19)</f>
        <v>172.19</v>
      </c>
      <c r="F2893" s="1">
        <f>IFERROR(__xludf.DUMMYFUNCTION("""COMPUTED_VALUE"""),59943.0)</f>
        <v>59943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IFERROR(__xludf.DUMMYFUNCTION("""COMPUTED_VALUE"""),172.56)</f>
        <v>172.56</v>
      </c>
      <c r="C2894" s="1">
        <f>IFERROR(__xludf.DUMMYFUNCTION("""COMPUTED_VALUE"""),174.95)</f>
        <v>174.95</v>
      </c>
      <c r="D2894" s="1">
        <f>IFERROR(__xludf.DUMMYFUNCTION("""COMPUTED_VALUE"""),170.25)</f>
        <v>170.25</v>
      </c>
      <c r="E2894" s="1">
        <f>IFERROR(__xludf.DUMMYFUNCTION("""COMPUTED_VALUE"""),174.41)</f>
        <v>174.41</v>
      </c>
      <c r="F2894" s="1">
        <f>IFERROR(__xludf.DUMMYFUNCTION("""COMPUTED_VALUE"""),64766.0)</f>
        <v>64766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IFERROR(__xludf.DUMMYFUNCTION("""COMPUTED_VALUE"""),175.19)</f>
        <v>175.19</v>
      </c>
      <c r="C2895" s="1">
        <f>IFERROR(__xludf.DUMMYFUNCTION("""COMPUTED_VALUE"""),175.67)</f>
        <v>175.67</v>
      </c>
      <c r="D2895" s="1">
        <f>IFERROR(__xludf.DUMMYFUNCTION("""COMPUTED_VALUE"""),173.84)</f>
        <v>173.84</v>
      </c>
      <c r="E2895" s="1">
        <f>IFERROR(__xludf.DUMMYFUNCTION("""COMPUTED_VALUE"""),174.23)</f>
        <v>174.23</v>
      </c>
      <c r="F2895" s="1">
        <f>IFERROR(__xludf.DUMMYFUNCTION("""COMPUTED_VALUE"""),42869.0)</f>
        <v>42869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IFERROR(__xludf.DUMMYFUNCTION("""COMPUTED_VALUE"""),174.23)</f>
        <v>174.23</v>
      </c>
      <c r="C2896" s="1">
        <f>IFERROR(__xludf.DUMMYFUNCTION("""COMPUTED_VALUE"""),174.85)</f>
        <v>174.85</v>
      </c>
      <c r="D2896" s="1">
        <f>IFERROR(__xludf.DUMMYFUNCTION("""COMPUTED_VALUE"""),172.52)</f>
        <v>172.52</v>
      </c>
      <c r="E2896" s="1">
        <f>IFERROR(__xludf.DUMMYFUNCTION("""COMPUTED_VALUE"""),172.58)</f>
        <v>172.58</v>
      </c>
      <c r="F2896" s="1">
        <f>IFERROR(__xludf.DUMMYFUNCTION("""COMPUTED_VALUE"""),36134.0)</f>
        <v>36134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IFERROR(__xludf.DUMMYFUNCTION("""COMPUTED_VALUE"""),172.19)</f>
        <v>172.19</v>
      </c>
      <c r="C2897" s="1">
        <f>IFERROR(__xludf.DUMMYFUNCTION("""COMPUTED_VALUE"""),173.68)</f>
        <v>173.68</v>
      </c>
      <c r="D2897" s="1">
        <f>IFERROR(__xludf.DUMMYFUNCTION("""COMPUTED_VALUE"""),169.98)</f>
        <v>169.98</v>
      </c>
      <c r="E2897" s="1">
        <f>IFERROR(__xludf.DUMMYFUNCTION("""COMPUTED_VALUE"""),172.63)</f>
        <v>172.63</v>
      </c>
      <c r="F2897" s="1">
        <f>IFERROR(__xludf.DUMMYFUNCTION("""COMPUTED_VALUE"""),54612.0)</f>
        <v>54612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IFERROR(__xludf.DUMMYFUNCTION("""COMPUTED_VALUE"""),172.73)</f>
        <v>172.73</v>
      </c>
      <c r="C2898" s="1">
        <f>IFERROR(__xludf.DUMMYFUNCTION("""COMPUTED_VALUE"""),173.99)</f>
        <v>173.99</v>
      </c>
      <c r="D2898" s="1">
        <f>IFERROR(__xludf.DUMMYFUNCTION("""COMPUTED_VALUE"""),171.59)</f>
        <v>171.59</v>
      </c>
      <c r="E2898" s="1">
        <f>IFERROR(__xludf.DUMMYFUNCTION("""COMPUTED_VALUE"""),172.14)</f>
        <v>172.14</v>
      </c>
      <c r="F2898" s="1">
        <f>IFERROR(__xludf.DUMMYFUNCTION("""COMPUTED_VALUE"""),66254.0)</f>
        <v>66254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IFERROR(__xludf.DUMMYFUNCTION("""COMPUTED_VALUE"""),170.33)</f>
        <v>170.33</v>
      </c>
      <c r="C2899" s="1">
        <f>IFERROR(__xludf.DUMMYFUNCTION("""COMPUTED_VALUE"""),173.0)</f>
        <v>173</v>
      </c>
      <c r="D2899" s="1">
        <f>IFERROR(__xludf.DUMMYFUNCTION("""COMPUTED_VALUE"""),170.12)</f>
        <v>170.12</v>
      </c>
      <c r="E2899" s="1">
        <f>IFERROR(__xludf.DUMMYFUNCTION("""COMPUTED_VALUE"""),170.61)</f>
        <v>170.61</v>
      </c>
      <c r="F2899" s="1">
        <f>IFERROR(__xludf.DUMMYFUNCTION("""COMPUTED_VALUE"""),53844.0)</f>
        <v>53844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IFERROR(__xludf.DUMMYFUNCTION("""COMPUTED_VALUE"""),171.84)</f>
        <v>171.84</v>
      </c>
      <c r="C2900" s="1">
        <f>IFERROR(__xludf.DUMMYFUNCTION("""COMPUTED_VALUE"""),172.22)</f>
        <v>172.22</v>
      </c>
      <c r="D2900" s="1">
        <f>IFERROR(__xludf.DUMMYFUNCTION("""COMPUTED_VALUE"""),170.36)</f>
        <v>170.36</v>
      </c>
      <c r="E2900" s="1">
        <f>IFERROR(__xludf.DUMMYFUNCTION("""COMPUTED_VALUE"""),170.53)</f>
        <v>170.53</v>
      </c>
      <c r="F2900" s="1">
        <f>IFERROR(__xludf.DUMMYFUNCTION("""COMPUTED_VALUE"""),46593.0)</f>
        <v>46593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IFERROR(__xludf.DUMMYFUNCTION("""COMPUTED_VALUE"""),170.33)</f>
        <v>170.33</v>
      </c>
      <c r="C2901" s="1">
        <f>IFERROR(__xludf.DUMMYFUNCTION("""COMPUTED_VALUE"""),171.15)</f>
        <v>171.15</v>
      </c>
      <c r="D2901" s="1">
        <f>IFERROR(__xludf.DUMMYFUNCTION("""COMPUTED_VALUE"""),168.64)</f>
        <v>168.64</v>
      </c>
      <c r="E2901" s="1">
        <f>IFERROR(__xludf.DUMMYFUNCTION("""COMPUTED_VALUE"""),170.37)</f>
        <v>170.37</v>
      </c>
      <c r="F2901" s="1">
        <f>IFERROR(__xludf.DUMMYFUNCTION("""COMPUTED_VALUE"""),61005.0)</f>
        <v>61005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IFERROR(__xludf.DUMMYFUNCTION("""COMPUTED_VALUE"""),170.25)</f>
        <v>170.25</v>
      </c>
      <c r="C2902" s="1">
        <f>IFERROR(__xludf.DUMMYFUNCTION("""COMPUTED_VALUE"""),170.9)</f>
        <v>170.9</v>
      </c>
      <c r="D2902" s="1">
        <f>IFERROR(__xludf.DUMMYFUNCTION("""COMPUTED_VALUE"""),167.26)</f>
        <v>167.26</v>
      </c>
      <c r="E2902" s="1">
        <f>IFERROR(__xludf.DUMMYFUNCTION("""COMPUTED_VALUE"""),167.49)</f>
        <v>167.49</v>
      </c>
      <c r="F2902" s="1">
        <f>IFERROR(__xludf.DUMMYFUNCTION("""COMPUTED_VALUE"""),53936.0)</f>
        <v>53936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IFERROR(__xludf.DUMMYFUNCTION("""COMPUTED_VALUE"""),167.5)</f>
        <v>167.5</v>
      </c>
      <c r="C2903" s="1">
        <f>IFERROR(__xludf.DUMMYFUNCTION("""COMPUTED_VALUE"""),169.28)</f>
        <v>169.28</v>
      </c>
      <c r="D2903" s="1">
        <f>IFERROR(__xludf.DUMMYFUNCTION("""COMPUTED_VALUE"""),166.88)</f>
        <v>166.88</v>
      </c>
      <c r="E2903" s="1">
        <f>IFERROR(__xludf.DUMMYFUNCTION("""COMPUTED_VALUE"""),168.32)</f>
        <v>168.32</v>
      </c>
      <c r="F2903" s="1">
        <f>IFERROR(__xludf.DUMMYFUNCTION("""COMPUTED_VALUE"""),37135.0)</f>
        <v>37135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IFERROR(__xludf.DUMMYFUNCTION("""COMPUTED_VALUE"""),167.86)</f>
        <v>167.86</v>
      </c>
      <c r="C2904" s="1">
        <f>IFERROR(__xludf.DUMMYFUNCTION("""COMPUTED_VALUE"""),168.98)</f>
        <v>168.98</v>
      </c>
      <c r="D2904" s="1">
        <f>IFERROR(__xludf.DUMMYFUNCTION("""COMPUTED_VALUE"""),166.45)</f>
        <v>166.45</v>
      </c>
      <c r="E2904" s="1">
        <f>IFERROR(__xludf.DUMMYFUNCTION("""COMPUTED_VALUE"""),168.28)</f>
        <v>168.28</v>
      </c>
      <c r="F2904" s="1">
        <f>IFERROR(__xludf.DUMMYFUNCTION("""COMPUTED_VALUE"""),67206.0)</f>
        <v>67206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IFERROR(__xludf.DUMMYFUNCTION("""COMPUTED_VALUE"""),169.41)</f>
        <v>169.41</v>
      </c>
      <c r="C2905" s="1">
        <f>IFERROR(__xludf.DUMMYFUNCTION("""COMPUTED_VALUE"""),169.83)</f>
        <v>169.83</v>
      </c>
      <c r="D2905" s="1">
        <f>IFERROR(__xludf.DUMMYFUNCTION("""COMPUTED_VALUE"""),167.39)</f>
        <v>167.39</v>
      </c>
      <c r="E2905" s="1">
        <f>IFERROR(__xludf.DUMMYFUNCTION("""COMPUTED_VALUE"""),167.53)</f>
        <v>167.53</v>
      </c>
      <c r="F2905" s="1">
        <f>IFERROR(__xludf.DUMMYFUNCTION("""COMPUTED_VALUE"""),42843.0)</f>
        <v>42843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IFERROR(__xludf.DUMMYFUNCTION("""COMPUTED_VALUE"""),166.36)</f>
        <v>166.36</v>
      </c>
      <c r="C2906" s="1">
        <f>IFERROR(__xludf.DUMMYFUNCTION("""COMPUTED_VALUE"""),167.99)</f>
        <v>167.99</v>
      </c>
      <c r="D2906" s="1">
        <f>IFERROR(__xludf.DUMMYFUNCTION("""COMPUTED_VALUE"""),164.87)</f>
        <v>164.87</v>
      </c>
      <c r="E2906" s="1">
        <f>IFERROR(__xludf.DUMMYFUNCTION("""COMPUTED_VALUE"""),165.88)</f>
        <v>165.88</v>
      </c>
      <c r="F2906" s="1">
        <f>IFERROR(__xludf.DUMMYFUNCTION("""COMPUTED_VALUE"""),77934.0)</f>
        <v>77934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IFERROR(__xludf.DUMMYFUNCTION("""COMPUTED_VALUE"""),165.72)</f>
        <v>165.72</v>
      </c>
      <c r="C2907" s="1">
        <f>IFERROR(__xludf.DUMMYFUNCTION("""COMPUTED_VALUE"""),170.22)</f>
        <v>170.22</v>
      </c>
      <c r="D2907" s="1">
        <f>IFERROR(__xludf.DUMMYFUNCTION("""COMPUTED_VALUE"""),165.58)</f>
        <v>165.58</v>
      </c>
      <c r="E2907" s="1">
        <f>IFERROR(__xludf.DUMMYFUNCTION("""COMPUTED_VALUE"""),168.19)</f>
        <v>168.19</v>
      </c>
      <c r="F2907" s="1">
        <f>IFERROR(__xludf.DUMMYFUNCTION("""COMPUTED_VALUE"""),83985.0)</f>
        <v>83985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IFERROR(__xludf.DUMMYFUNCTION("""COMPUTED_VALUE"""),168.96)</f>
        <v>168.96</v>
      </c>
      <c r="C2908" s="1">
        <f>IFERROR(__xludf.DUMMYFUNCTION("""COMPUTED_VALUE"""),169.94)</f>
        <v>169.94</v>
      </c>
      <c r="D2908" s="1">
        <f>IFERROR(__xludf.DUMMYFUNCTION("""COMPUTED_VALUE"""),166.3)</f>
        <v>166.3</v>
      </c>
      <c r="E2908" s="1">
        <f>IFERROR(__xludf.DUMMYFUNCTION("""COMPUTED_VALUE"""),166.5)</f>
        <v>166.5</v>
      </c>
      <c r="F2908" s="1">
        <f>IFERROR(__xludf.DUMMYFUNCTION("""COMPUTED_VALUE"""),55822.0)</f>
        <v>55822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IFERROR(__xludf.DUMMYFUNCTION("""COMPUTED_VALUE"""),166.11)</f>
        <v>166.11</v>
      </c>
      <c r="C2909" s="1">
        <f>IFERROR(__xludf.DUMMYFUNCTION("""COMPUTED_VALUE"""),166.27)</f>
        <v>166.27</v>
      </c>
      <c r="D2909" s="1">
        <f>IFERROR(__xludf.DUMMYFUNCTION("""COMPUTED_VALUE"""),164.0)</f>
        <v>164</v>
      </c>
      <c r="E2909" s="1">
        <f>IFERROR(__xludf.DUMMYFUNCTION("""COMPUTED_VALUE"""),164.0)</f>
        <v>164</v>
      </c>
      <c r="F2909" s="1">
        <f>IFERROR(__xludf.DUMMYFUNCTION("""COMPUTED_VALUE"""),51856.0)</f>
        <v>51856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IFERROR(__xludf.DUMMYFUNCTION("""COMPUTED_VALUE"""),164.43)</f>
        <v>164.43</v>
      </c>
      <c r="C2910" s="1">
        <f>IFERROR(__xludf.DUMMYFUNCTION("""COMPUTED_VALUE"""),166.79)</f>
        <v>166.79</v>
      </c>
      <c r="D2910" s="1">
        <f>IFERROR(__xludf.DUMMYFUNCTION("""COMPUTED_VALUE"""),163.49)</f>
        <v>163.49</v>
      </c>
      <c r="E2910" s="1">
        <f>IFERROR(__xludf.DUMMYFUNCTION("""COMPUTED_VALUE"""),166.65)</f>
        <v>166.65</v>
      </c>
      <c r="F2910" s="1">
        <f>IFERROR(__xludf.DUMMYFUNCTION("""COMPUTED_VALUE"""),60501.0)</f>
        <v>60501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IFERROR(__xludf.DUMMYFUNCTION("""COMPUTED_VALUE"""),167.33)</f>
        <v>167.33</v>
      </c>
      <c r="C2911" s="1">
        <f>IFERROR(__xludf.DUMMYFUNCTION("""COMPUTED_VALUE"""),174.19)</f>
        <v>174.19</v>
      </c>
      <c r="D2911" s="1">
        <f>IFERROR(__xludf.DUMMYFUNCTION("""COMPUTED_VALUE"""),164.04)</f>
        <v>164.04</v>
      </c>
      <c r="E2911" s="1">
        <f>IFERROR(__xludf.DUMMYFUNCTION("""COMPUTED_VALUE"""),174.19)</f>
        <v>174.19</v>
      </c>
      <c r="F2911" s="1">
        <f>IFERROR(__xludf.DUMMYFUNCTION("""COMPUTED_VALUE"""),91717.0)</f>
        <v>91717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IFERROR(__xludf.DUMMYFUNCTION("""COMPUTED_VALUE"""),180.0)</f>
        <v>180</v>
      </c>
      <c r="C2912" s="1">
        <f>IFERROR(__xludf.DUMMYFUNCTION("""COMPUTED_VALUE"""),180.0)</f>
        <v>180</v>
      </c>
      <c r="D2912" s="1">
        <f>IFERROR(__xludf.DUMMYFUNCTION("""COMPUTED_VALUE"""),166.23)</f>
        <v>166.23</v>
      </c>
      <c r="E2912" s="1">
        <f>IFERROR(__xludf.DUMMYFUNCTION("""COMPUTED_VALUE"""),166.6)</f>
        <v>166.6</v>
      </c>
      <c r="F2912" s="1">
        <f>IFERROR(__xludf.DUMMYFUNCTION("""COMPUTED_VALUE"""),103184.0)</f>
        <v>103184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IFERROR(__xludf.DUMMYFUNCTION("""COMPUTED_VALUE"""),166.6)</f>
        <v>166.6</v>
      </c>
      <c r="C2913" s="1">
        <f>IFERROR(__xludf.DUMMYFUNCTION("""COMPUTED_VALUE"""),168.13)</f>
        <v>168.13</v>
      </c>
      <c r="D2913" s="1">
        <f>IFERROR(__xludf.DUMMYFUNCTION("""COMPUTED_VALUE"""),163.0)</f>
        <v>163</v>
      </c>
      <c r="E2913" s="1">
        <f>IFERROR(__xludf.DUMMYFUNCTION("""COMPUTED_VALUE"""),166.29)</f>
        <v>166.29</v>
      </c>
      <c r="F2913" s="1">
        <f>IFERROR(__xludf.DUMMYFUNCTION("""COMPUTED_VALUE"""),94974.0)</f>
        <v>94974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IFERROR(__xludf.DUMMYFUNCTION("""COMPUTED_VALUE"""),167.22)</f>
        <v>167.22</v>
      </c>
      <c r="C2914" s="1">
        <f>IFERROR(__xludf.DUMMYFUNCTION("""COMPUTED_VALUE"""),168.43)</f>
        <v>168.43</v>
      </c>
      <c r="D2914" s="1">
        <f>IFERROR(__xludf.DUMMYFUNCTION("""COMPUTED_VALUE"""),164.69)</f>
        <v>164.69</v>
      </c>
      <c r="E2914" s="1">
        <f>IFERROR(__xludf.DUMMYFUNCTION("""COMPUTED_VALUE"""),165.02)</f>
        <v>165.02</v>
      </c>
      <c r="F2914" s="1">
        <f>IFERROR(__xludf.DUMMYFUNCTION("""COMPUTED_VALUE"""),65527.0)</f>
        <v>65527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IFERROR(__xludf.DUMMYFUNCTION("""COMPUTED_VALUE"""),164.83)</f>
        <v>164.83</v>
      </c>
      <c r="C2915" s="1">
        <f>IFERROR(__xludf.DUMMYFUNCTION("""COMPUTED_VALUE"""),165.29)</f>
        <v>165.29</v>
      </c>
      <c r="D2915" s="1">
        <f>IFERROR(__xludf.DUMMYFUNCTION("""COMPUTED_VALUE"""),163.28)</f>
        <v>163.28</v>
      </c>
      <c r="E2915" s="1">
        <f>IFERROR(__xludf.DUMMYFUNCTION("""COMPUTED_VALUE"""),164.38)</f>
        <v>164.38</v>
      </c>
      <c r="F2915" s="1">
        <f>IFERROR(__xludf.DUMMYFUNCTION("""COMPUTED_VALUE"""),80420.0)</f>
        <v>80420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IFERROR(__xludf.DUMMYFUNCTION("""COMPUTED_VALUE"""),164.96)</f>
        <v>164.96</v>
      </c>
      <c r="C2916" s="1">
        <f>IFERROR(__xludf.DUMMYFUNCTION("""COMPUTED_VALUE"""),165.44)</f>
        <v>165.44</v>
      </c>
      <c r="D2916" s="1">
        <f>IFERROR(__xludf.DUMMYFUNCTION("""COMPUTED_VALUE"""),162.79)</f>
        <v>162.79</v>
      </c>
      <c r="E2916" s="1">
        <f>IFERROR(__xludf.DUMMYFUNCTION("""COMPUTED_VALUE"""),163.46)</f>
        <v>163.46</v>
      </c>
      <c r="F2916" s="1">
        <f>IFERROR(__xludf.DUMMYFUNCTION("""COMPUTED_VALUE"""),67418.0)</f>
        <v>67418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IFERROR(__xludf.DUMMYFUNCTION("""COMPUTED_VALUE"""),164.31)</f>
        <v>164.31</v>
      </c>
      <c r="C2917" s="1">
        <f>IFERROR(__xludf.DUMMYFUNCTION("""COMPUTED_VALUE"""),165.86)</f>
        <v>165.86</v>
      </c>
      <c r="D2917" s="1">
        <f>IFERROR(__xludf.DUMMYFUNCTION("""COMPUTED_VALUE"""),163.69)</f>
        <v>163.69</v>
      </c>
      <c r="E2917" s="1">
        <f>IFERROR(__xludf.DUMMYFUNCTION("""COMPUTED_VALUE"""),164.43)</f>
        <v>164.43</v>
      </c>
      <c r="F2917" s="1">
        <f>IFERROR(__xludf.DUMMYFUNCTION("""COMPUTED_VALUE"""),69472.0)</f>
        <v>69472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IFERROR(__xludf.DUMMYFUNCTION("""COMPUTED_VALUE"""),163.46)</f>
        <v>163.46</v>
      </c>
      <c r="C2918" s="1">
        <f>IFERROR(__xludf.DUMMYFUNCTION("""COMPUTED_VALUE"""),163.78)</f>
        <v>163.78</v>
      </c>
      <c r="D2918" s="1">
        <f>IFERROR(__xludf.DUMMYFUNCTION("""COMPUTED_VALUE"""),160.42)</f>
        <v>160.42</v>
      </c>
      <c r="E2918" s="1">
        <f>IFERROR(__xludf.DUMMYFUNCTION("""COMPUTED_VALUE"""),160.76)</f>
        <v>160.76</v>
      </c>
      <c r="F2918" s="1">
        <f>IFERROR(__xludf.DUMMYFUNCTION("""COMPUTED_VALUE"""),43019.0)</f>
        <v>43019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IFERROR(__xludf.DUMMYFUNCTION("""COMPUTED_VALUE"""),160.88)</f>
        <v>160.88</v>
      </c>
      <c r="C2919" s="1">
        <f>IFERROR(__xludf.DUMMYFUNCTION("""COMPUTED_VALUE"""),163.18)</f>
        <v>163.18</v>
      </c>
      <c r="D2919" s="1">
        <f>IFERROR(__xludf.DUMMYFUNCTION("""COMPUTED_VALUE"""),160.88)</f>
        <v>160.88</v>
      </c>
      <c r="E2919" s="1">
        <f>IFERROR(__xludf.DUMMYFUNCTION("""COMPUTED_VALUE"""),162.42)</f>
        <v>162.42</v>
      </c>
      <c r="F2919" s="1">
        <f>IFERROR(__xludf.DUMMYFUNCTION("""COMPUTED_VALUE"""),45910.0)</f>
        <v>45910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IFERROR(__xludf.DUMMYFUNCTION("""COMPUTED_VALUE"""),163.31)</f>
        <v>163.31</v>
      </c>
      <c r="C2920" s="1">
        <f>IFERROR(__xludf.DUMMYFUNCTION("""COMPUTED_VALUE"""),164.38)</f>
        <v>164.38</v>
      </c>
      <c r="D2920" s="1">
        <f>IFERROR(__xludf.DUMMYFUNCTION("""COMPUTED_VALUE"""),162.9)</f>
        <v>162.9</v>
      </c>
      <c r="E2920" s="1">
        <f>IFERROR(__xludf.DUMMYFUNCTION("""COMPUTED_VALUE"""),163.78)</f>
        <v>163.78</v>
      </c>
      <c r="F2920" s="1">
        <f>IFERROR(__xludf.DUMMYFUNCTION("""COMPUTED_VALUE"""),41991.0)</f>
        <v>41991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IFERROR(__xludf.DUMMYFUNCTION("""COMPUTED_VALUE"""),163.72)</f>
        <v>163.72</v>
      </c>
      <c r="C2921" s="1">
        <f>IFERROR(__xludf.DUMMYFUNCTION("""COMPUTED_VALUE"""),163.72)</f>
        <v>163.72</v>
      </c>
      <c r="D2921" s="1">
        <f>IFERROR(__xludf.DUMMYFUNCTION("""COMPUTED_VALUE"""),162.02)</f>
        <v>162.02</v>
      </c>
      <c r="E2921" s="1">
        <f>IFERROR(__xludf.DUMMYFUNCTION("""COMPUTED_VALUE"""),162.5)</f>
        <v>162.5</v>
      </c>
      <c r="F2921" s="1">
        <f>IFERROR(__xludf.DUMMYFUNCTION("""COMPUTED_VALUE"""),29540.0)</f>
        <v>29540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IFERROR(__xludf.DUMMYFUNCTION("""COMPUTED_VALUE"""),162.08)</f>
        <v>162.08</v>
      </c>
      <c r="C2922" s="1">
        <f>IFERROR(__xludf.DUMMYFUNCTION("""COMPUTED_VALUE"""),163.18)</f>
        <v>163.18</v>
      </c>
      <c r="D2922" s="1">
        <f>IFERROR(__xludf.DUMMYFUNCTION("""COMPUTED_VALUE"""),161.54)</f>
        <v>161.54</v>
      </c>
      <c r="E2922" s="1">
        <f>IFERROR(__xludf.DUMMYFUNCTION("""COMPUTED_VALUE"""),161.68)</f>
        <v>161.68</v>
      </c>
      <c r="F2922" s="1">
        <f>IFERROR(__xludf.DUMMYFUNCTION("""COMPUTED_VALUE"""),53773.0)</f>
        <v>53773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IFERROR(__xludf.DUMMYFUNCTION("""COMPUTED_VALUE"""),161.88)</f>
        <v>161.88</v>
      </c>
      <c r="C2923" s="1">
        <f>IFERROR(__xludf.DUMMYFUNCTION("""COMPUTED_VALUE"""),163.0)</f>
        <v>163</v>
      </c>
      <c r="D2923" s="1">
        <f>IFERROR(__xludf.DUMMYFUNCTION("""COMPUTED_VALUE"""),160.53)</f>
        <v>160.53</v>
      </c>
      <c r="E2923" s="1">
        <f>IFERROR(__xludf.DUMMYFUNCTION("""COMPUTED_VALUE"""),161.72)</f>
        <v>161.72</v>
      </c>
      <c r="F2923" s="1">
        <f>IFERROR(__xludf.DUMMYFUNCTION("""COMPUTED_VALUE"""),27498.0)</f>
        <v>27498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IFERROR(__xludf.DUMMYFUNCTION("""COMPUTED_VALUE"""),161.46)</f>
        <v>161.46</v>
      </c>
      <c r="C2924" s="1">
        <f>IFERROR(__xludf.DUMMYFUNCTION("""COMPUTED_VALUE"""),162.59)</f>
        <v>162.59</v>
      </c>
      <c r="D2924" s="1">
        <f>IFERROR(__xludf.DUMMYFUNCTION("""COMPUTED_VALUE"""),161.26)</f>
        <v>161.26</v>
      </c>
      <c r="E2924" s="1">
        <f>IFERROR(__xludf.DUMMYFUNCTION("""COMPUTED_VALUE"""),162.3)</f>
        <v>162.3</v>
      </c>
      <c r="F2924" s="1">
        <f>IFERROR(__xludf.DUMMYFUNCTION("""COMPUTED_VALUE"""),34886.0)</f>
        <v>34886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IFERROR(__xludf.DUMMYFUNCTION("""COMPUTED_VALUE"""),162.3)</f>
        <v>162.3</v>
      </c>
      <c r="C2925" s="1">
        <f>IFERROR(__xludf.DUMMYFUNCTION("""COMPUTED_VALUE"""),164.28)</f>
        <v>164.28</v>
      </c>
      <c r="D2925" s="1">
        <f>IFERROR(__xludf.DUMMYFUNCTION("""COMPUTED_VALUE"""),162.11)</f>
        <v>162.11</v>
      </c>
      <c r="E2925" s="1">
        <f>IFERROR(__xludf.DUMMYFUNCTION("""COMPUTED_VALUE"""),164.0)</f>
        <v>164</v>
      </c>
      <c r="F2925" s="1">
        <f>IFERROR(__xludf.DUMMYFUNCTION("""COMPUTED_VALUE"""),27982.0)</f>
        <v>27982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IFERROR(__xludf.DUMMYFUNCTION("""COMPUTED_VALUE"""),163.85)</f>
        <v>163.85</v>
      </c>
      <c r="C2926" s="1">
        <f>IFERROR(__xludf.DUMMYFUNCTION("""COMPUTED_VALUE"""),164.12)</f>
        <v>164.12</v>
      </c>
      <c r="D2926" s="1">
        <f>IFERROR(__xludf.DUMMYFUNCTION("""COMPUTED_VALUE"""),161.65)</f>
        <v>161.65</v>
      </c>
      <c r="E2926" s="1">
        <f>IFERROR(__xludf.DUMMYFUNCTION("""COMPUTED_VALUE"""),163.95)</f>
        <v>163.95</v>
      </c>
      <c r="F2926" s="1">
        <f>IFERROR(__xludf.DUMMYFUNCTION("""COMPUTED_VALUE"""),35367.0)</f>
        <v>35367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IFERROR(__xludf.DUMMYFUNCTION("""COMPUTED_VALUE"""),162.86)</f>
        <v>162.86</v>
      </c>
      <c r="C2927" s="1">
        <f>IFERROR(__xludf.DUMMYFUNCTION("""COMPUTED_VALUE"""),164.3)</f>
        <v>164.3</v>
      </c>
      <c r="D2927" s="1">
        <f>IFERROR(__xludf.DUMMYFUNCTION("""COMPUTED_VALUE"""),161.43)</f>
        <v>161.43</v>
      </c>
      <c r="E2927" s="1">
        <f>IFERROR(__xludf.DUMMYFUNCTION("""COMPUTED_VALUE"""),164.03)</f>
        <v>164.03</v>
      </c>
      <c r="F2927" s="1">
        <f>IFERROR(__xludf.DUMMYFUNCTION("""COMPUTED_VALUE"""),41721.0)</f>
        <v>41721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IFERROR(__xludf.DUMMYFUNCTION("""COMPUTED_VALUE"""),164.12)</f>
        <v>164.12</v>
      </c>
      <c r="C2928" s="1">
        <f>IFERROR(__xludf.DUMMYFUNCTION("""COMPUTED_VALUE"""),164.59)</f>
        <v>164.59</v>
      </c>
      <c r="D2928" s="1">
        <f>IFERROR(__xludf.DUMMYFUNCTION("""COMPUTED_VALUE"""),161.2)</f>
        <v>161.2</v>
      </c>
      <c r="E2928" s="1">
        <f>IFERROR(__xludf.DUMMYFUNCTION("""COMPUTED_VALUE"""),161.33)</f>
        <v>161.33</v>
      </c>
      <c r="F2928" s="1">
        <f>IFERROR(__xludf.DUMMYFUNCTION("""COMPUTED_VALUE"""),55484.0)</f>
        <v>55484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IFERROR(__xludf.DUMMYFUNCTION("""COMPUTED_VALUE"""),161.28)</f>
        <v>161.28</v>
      </c>
      <c r="C2929" s="1">
        <f>IFERROR(__xludf.DUMMYFUNCTION("""COMPUTED_VALUE"""),161.7)</f>
        <v>161.7</v>
      </c>
      <c r="D2929" s="1">
        <f>IFERROR(__xludf.DUMMYFUNCTION("""COMPUTED_VALUE"""),159.61)</f>
        <v>159.61</v>
      </c>
      <c r="E2929" s="1">
        <f>IFERROR(__xludf.DUMMYFUNCTION("""COMPUTED_VALUE"""),161.29)</f>
        <v>161.29</v>
      </c>
      <c r="F2929" s="1">
        <f>IFERROR(__xludf.DUMMYFUNCTION("""COMPUTED_VALUE"""),45002.0)</f>
        <v>45002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IFERROR(__xludf.DUMMYFUNCTION("""COMPUTED_VALUE"""),160.7)</f>
        <v>160.7</v>
      </c>
      <c r="C2930" s="1">
        <f>IFERROR(__xludf.DUMMYFUNCTION("""COMPUTED_VALUE"""),163.15)</f>
        <v>163.15</v>
      </c>
      <c r="D2930" s="1">
        <f>IFERROR(__xludf.DUMMYFUNCTION("""COMPUTED_VALUE"""),160.7)</f>
        <v>160.7</v>
      </c>
      <c r="E2930" s="1">
        <f>IFERROR(__xludf.DUMMYFUNCTION("""COMPUTED_VALUE"""),161.6)</f>
        <v>161.6</v>
      </c>
      <c r="F2930" s="1">
        <f>IFERROR(__xludf.DUMMYFUNCTION("""COMPUTED_VALUE"""),48446.0)</f>
        <v>48446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IFERROR(__xludf.DUMMYFUNCTION("""COMPUTED_VALUE"""),162.21)</f>
        <v>162.21</v>
      </c>
      <c r="C2931" s="1">
        <f>IFERROR(__xludf.DUMMYFUNCTION("""COMPUTED_VALUE"""),162.25)</f>
        <v>162.25</v>
      </c>
      <c r="D2931" s="1">
        <f>IFERROR(__xludf.DUMMYFUNCTION("""COMPUTED_VALUE"""),161.11)</f>
        <v>161.11</v>
      </c>
      <c r="E2931" s="1">
        <f>IFERROR(__xludf.DUMMYFUNCTION("""COMPUTED_VALUE"""),161.73)</f>
        <v>161.73</v>
      </c>
      <c r="F2931" s="1">
        <f>IFERROR(__xludf.DUMMYFUNCTION("""COMPUTED_VALUE"""),25589.0)</f>
        <v>25589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IFERROR(__xludf.DUMMYFUNCTION("""COMPUTED_VALUE"""),162.05)</f>
        <v>162.05</v>
      </c>
      <c r="C2932" s="1">
        <f>IFERROR(__xludf.DUMMYFUNCTION("""COMPUTED_VALUE"""),163.28)</f>
        <v>163.28</v>
      </c>
      <c r="D2932" s="1">
        <f>IFERROR(__xludf.DUMMYFUNCTION("""COMPUTED_VALUE"""),160.98)</f>
        <v>160.98</v>
      </c>
      <c r="E2932" s="1">
        <f>IFERROR(__xludf.DUMMYFUNCTION("""COMPUTED_VALUE"""),163.05)</f>
        <v>163.05</v>
      </c>
      <c r="F2932" s="1">
        <f>IFERROR(__xludf.DUMMYFUNCTION("""COMPUTED_VALUE"""),56466.0)</f>
        <v>56466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IFERROR(__xludf.DUMMYFUNCTION("""COMPUTED_VALUE"""),162.93)</f>
        <v>162.93</v>
      </c>
      <c r="C2933" s="1">
        <f>IFERROR(__xludf.DUMMYFUNCTION("""COMPUTED_VALUE"""),163.72)</f>
        <v>163.72</v>
      </c>
      <c r="D2933" s="1">
        <f>IFERROR(__xludf.DUMMYFUNCTION("""COMPUTED_VALUE"""),161.31)</f>
        <v>161.31</v>
      </c>
      <c r="E2933" s="1">
        <f>IFERROR(__xludf.DUMMYFUNCTION("""COMPUTED_VALUE"""),161.9)</f>
        <v>161.9</v>
      </c>
      <c r="F2933" s="1">
        <f>IFERROR(__xludf.DUMMYFUNCTION("""COMPUTED_VALUE"""),109227.0)</f>
        <v>109227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IFERROR(__xludf.DUMMYFUNCTION("""COMPUTED_VALUE"""),161.76)</f>
        <v>161.76</v>
      </c>
      <c r="C2934" s="1">
        <f>IFERROR(__xludf.DUMMYFUNCTION("""COMPUTED_VALUE"""),161.84)</f>
        <v>161.84</v>
      </c>
      <c r="D2934" s="1">
        <f>IFERROR(__xludf.DUMMYFUNCTION("""COMPUTED_VALUE"""),160.49)</f>
        <v>160.49</v>
      </c>
      <c r="E2934" s="1">
        <f>IFERROR(__xludf.DUMMYFUNCTION("""COMPUTED_VALUE"""),160.65)</f>
        <v>160.65</v>
      </c>
      <c r="F2934" s="1">
        <f>IFERROR(__xludf.DUMMYFUNCTION("""COMPUTED_VALUE"""),52196.0)</f>
        <v>52196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IFERROR(__xludf.DUMMYFUNCTION("""COMPUTED_VALUE"""),160.6)</f>
        <v>160.6</v>
      </c>
      <c r="C2935" s="1">
        <f>IFERROR(__xludf.DUMMYFUNCTION("""COMPUTED_VALUE"""),164.25)</f>
        <v>164.25</v>
      </c>
      <c r="D2935" s="1">
        <f>IFERROR(__xludf.DUMMYFUNCTION("""COMPUTED_VALUE"""),160.38)</f>
        <v>160.38</v>
      </c>
      <c r="E2935" s="1">
        <f>IFERROR(__xludf.DUMMYFUNCTION("""COMPUTED_VALUE"""),163.83)</f>
        <v>163.83</v>
      </c>
      <c r="F2935" s="1">
        <f>IFERROR(__xludf.DUMMYFUNCTION("""COMPUTED_VALUE"""),64894.0)</f>
        <v>64894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IFERROR(__xludf.DUMMYFUNCTION("""COMPUTED_VALUE"""),164.16)</f>
        <v>164.16</v>
      </c>
      <c r="C2936" s="1">
        <f>IFERROR(__xludf.DUMMYFUNCTION("""COMPUTED_VALUE"""),165.61)</f>
        <v>165.61</v>
      </c>
      <c r="D2936" s="1">
        <f>IFERROR(__xludf.DUMMYFUNCTION("""COMPUTED_VALUE"""),161.89)</f>
        <v>161.89</v>
      </c>
      <c r="E2936" s="1">
        <f>IFERROR(__xludf.DUMMYFUNCTION("""COMPUTED_VALUE"""),162.02)</f>
        <v>162.02</v>
      </c>
      <c r="F2936" s="1">
        <f>IFERROR(__xludf.DUMMYFUNCTION("""COMPUTED_VALUE"""),52038.0)</f>
        <v>52038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IFERROR(__xludf.DUMMYFUNCTION("""COMPUTED_VALUE"""),162.43)</f>
        <v>162.43</v>
      </c>
      <c r="C2937" s="1">
        <f>IFERROR(__xludf.DUMMYFUNCTION("""COMPUTED_VALUE"""),164.02)</f>
        <v>164.02</v>
      </c>
      <c r="D2937" s="1">
        <f>IFERROR(__xludf.DUMMYFUNCTION("""COMPUTED_VALUE"""),161.72)</f>
        <v>161.72</v>
      </c>
      <c r="E2937" s="1">
        <f>IFERROR(__xludf.DUMMYFUNCTION("""COMPUTED_VALUE"""),163.76)</f>
        <v>163.76</v>
      </c>
      <c r="F2937" s="1">
        <f>IFERROR(__xludf.DUMMYFUNCTION("""COMPUTED_VALUE"""),70838.0)</f>
        <v>70838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IFERROR(__xludf.DUMMYFUNCTION("""COMPUTED_VALUE"""),163.67)</f>
        <v>163.67</v>
      </c>
      <c r="C2938" s="1">
        <f>IFERROR(__xludf.DUMMYFUNCTION("""COMPUTED_VALUE"""),163.67)</f>
        <v>163.67</v>
      </c>
      <c r="D2938" s="1">
        <f>IFERROR(__xludf.DUMMYFUNCTION("""COMPUTED_VALUE"""),160.86)</f>
        <v>160.86</v>
      </c>
      <c r="E2938" s="1">
        <f>IFERROR(__xludf.DUMMYFUNCTION("""COMPUTED_VALUE"""),161.65)</f>
        <v>161.65</v>
      </c>
      <c r="F2938" s="1">
        <f>IFERROR(__xludf.DUMMYFUNCTION("""COMPUTED_VALUE"""),56973.0)</f>
        <v>56973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IFERROR(__xludf.DUMMYFUNCTION("""COMPUTED_VALUE"""),161.52)</f>
        <v>161.52</v>
      </c>
      <c r="C2939" s="1">
        <f>IFERROR(__xludf.DUMMYFUNCTION("""COMPUTED_VALUE"""),163.91)</f>
        <v>163.91</v>
      </c>
      <c r="D2939" s="1">
        <f>IFERROR(__xludf.DUMMYFUNCTION("""COMPUTED_VALUE"""),160.45)</f>
        <v>160.45</v>
      </c>
      <c r="E2939" s="1">
        <f>IFERROR(__xludf.DUMMYFUNCTION("""COMPUTED_VALUE"""),163.39)</f>
        <v>163.39</v>
      </c>
      <c r="F2939" s="1">
        <f>IFERROR(__xludf.DUMMYFUNCTION("""COMPUTED_VALUE"""),43990.0)</f>
        <v>43990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IFERROR(__xludf.DUMMYFUNCTION("""COMPUTED_VALUE"""),162.77)</f>
        <v>162.77</v>
      </c>
      <c r="C2940" s="1">
        <f>IFERROR(__xludf.DUMMYFUNCTION("""COMPUTED_VALUE"""),162.77)</f>
        <v>162.77</v>
      </c>
      <c r="D2940" s="1">
        <f>IFERROR(__xludf.DUMMYFUNCTION("""COMPUTED_VALUE"""),159.99)</f>
        <v>159.99</v>
      </c>
      <c r="E2940" s="1">
        <f>IFERROR(__xludf.DUMMYFUNCTION("""COMPUTED_VALUE"""),160.79)</f>
        <v>160.79</v>
      </c>
      <c r="F2940" s="1">
        <f>IFERROR(__xludf.DUMMYFUNCTION("""COMPUTED_VALUE"""),53189.0)</f>
        <v>53189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IFERROR(__xludf.DUMMYFUNCTION("""COMPUTED_VALUE"""),160.65)</f>
        <v>160.65</v>
      </c>
      <c r="C2941" s="1">
        <f>IFERROR(__xludf.DUMMYFUNCTION("""COMPUTED_VALUE"""),163.6)</f>
        <v>163.6</v>
      </c>
      <c r="D2941" s="1">
        <f>IFERROR(__xludf.DUMMYFUNCTION("""COMPUTED_VALUE"""),160.03)</f>
        <v>160.03</v>
      </c>
      <c r="E2941" s="1">
        <f>IFERROR(__xludf.DUMMYFUNCTION("""COMPUTED_VALUE"""),162.62)</f>
        <v>162.62</v>
      </c>
      <c r="F2941" s="1">
        <f>IFERROR(__xludf.DUMMYFUNCTION("""COMPUTED_VALUE"""),70681.0)</f>
        <v>70681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IFERROR(__xludf.DUMMYFUNCTION("""COMPUTED_VALUE"""),162.6)</f>
        <v>162.6</v>
      </c>
      <c r="C2942" s="1">
        <f>IFERROR(__xludf.DUMMYFUNCTION("""COMPUTED_VALUE"""),163.55)</f>
        <v>163.55</v>
      </c>
      <c r="D2942" s="1">
        <f>IFERROR(__xludf.DUMMYFUNCTION("""COMPUTED_VALUE"""),161.29)</f>
        <v>161.29</v>
      </c>
      <c r="E2942" s="1">
        <f>IFERROR(__xludf.DUMMYFUNCTION("""COMPUTED_VALUE"""),163.04)</f>
        <v>163.04</v>
      </c>
      <c r="F2942" s="1">
        <f>IFERROR(__xludf.DUMMYFUNCTION("""COMPUTED_VALUE"""),66909.0)</f>
        <v>66909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IFERROR(__xludf.DUMMYFUNCTION("""COMPUTED_VALUE"""),162.58)</f>
        <v>162.58</v>
      </c>
      <c r="C2943" s="1">
        <f>IFERROR(__xludf.DUMMYFUNCTION("""COMPUTED_VALUE"""),162.92)</f>
        <v>162.92</v>
      </c>
      <c r="D2943" s="1">
        <f>IFERROR(__xludf.DUMMYFUNCTION("""COMPUTED_VALUE"""),160.98)</f>
        <v>160.98</v>
      </c>
      <c r="E2943" s="1">
        <f>IFERROR(__xludf.DUMMYFUNCTION("""COMPUTED_VALUE"""),161.5)</f>
        <v>161.5</v>
      </c>
      <c r="F2943" s="1">
        <f>IFERROR(__xludf.DUMMYFUNCTION("""COMPUTED_VALUE"""),50720.0)</f>
        <v>50720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IFERROR(__xludf.DUMMYFUNCTION("""COMPUTED_VALUE"""),161.71)</f>
        <v>161.71</v>
      </c>
      <c r="C2944" s="1">
        <f>IFERROR(__xludf.DUMMYFUNCTION("""COMPUTED_VALUE"""),161.71)</f>
        <v>161.71</v>
      </c>
      <c r="D2944" s="1">
        <f>IFERROR(__xludf.DUMMYFUNCTION("""COMPUTED_VALUE"""),160.01)</f>
        <v>160.01</v>
      </c>
      <c r="E2944" s="1">
        <f>IFERROR(__xludf.DUMMYFUNCTION("""COMPUTED_VALUE"""),160.63)</f>
        <v>160.63</v>
      </c>
      <c r="F2944" s="1">
        <f>IFERROR(__xludf.DUMMYFUNCTION("""COMPUTED_VALUE"""),56742.0)</f>
        <v>56742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IFERROR(__xludf.DUMMYFUNCTION("""COMPUTED_VALUE"""),161.44)</f>
        <v>161.44</v>
      </c>
      <c r="C2945" s="1">
        <f>IFERROR(__xludf.DUMMYFUNCTION("""COMPUTED_VALUE"""),161.82)</f>
        <v>161.82</v>
      </c>
      <c r="D2945" s="1">
        <f>IFERROR(__xludf.DUMMYFUNCTION("""COMPUTED_VALUE"""),158.28)</f>
        <v>158.28</v>
      </c>
      <c r="E2945" s="1">
        <f>IFERROR(__xludf.DUMMYFUNCTION("""COMPUTED_VALUE"""),159.14)</f>
        <v>159.14</v>
      </c>
      <c r="F2945" s="1">
        <f>IFERROR(__xludf.DUMMYFUNCTION("""COMPUTED_VALUE"""),43735.0)</f>
        <v>43735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IFERROR(__xludf.DUMMYFUNCTION("""COMPUTED_VALUE"""),159.17)</f>
        <v>159.17</v>
      </c>
      <c r="C2946" s="1">
        <f>IFERROR(__xludf.DUMMYFUNCTION("""COMPUTED_VALUE"""),159.91)</f>
        <v>159.91</v>
      </c>
      <c r="D2946" s="1">
        <f>IFERROR(__xludf.DUMMYFUNCTION("""COMPUTED_VALUE"""),156.28)</f>
        <v>156.28</v>
      </c>
      <c r="E2946" s="1">
        <f>IFERROR(__xludf.DUMMYFUNCTION("""COMPUTED_VALUE"""),157.26)</f>
        <v>157.26</v>
      </c>
      <c r="F2946" s="1">
        <f>IFERROR(__xludf.DUMMYFUNCTION("""COMPUTED_VALUE"""),56839.0)</f>
        <v>56839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IFERROR(__xludf.DUMMYFUNCTION("""COMPUTED_VALUE"""),157.18)</f>
        <v>157.18</v>
      </c>
      <c r="C2947" s="1">
        <f>IFERROR(__xludf.DUMMYFUNCTION("""COMPUTED_VALUE"""),157.23)</f>
        <v>157.23</v>
      </c>
      <c r="D2947" s="1">
        <f>IFERROR(__xludf.DUMMYFUNCTION("""COMPUTED_VALUE"""),154.31)</f>
        <v>154.31</v>
      </c>
      <c r="E2947" s="1">
        <f>IFERROR(__xludf.DUMMYFUNCTION("""COMPUTED_VALUE"""),155.58)</f>
        <v>155.58</v>
      </c>
      <c r="F2947" s="1">
        <f>IFERROR(__xludf.DUMMYFUNCTION("""COMPUTED_VALUE"""),70682.0)</f>
        <v>70682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IFERROR(__xludf.DUMMYFUNCTION("""COMPUTED_VALUE"""),156.15)</f>
        <v>156.15</v>
      </c>
      <c r="C2948" s="1">
        <f>IFERROR(__xludf.DUMMYFUNCTION("""COMPUTED_VALUE"""),157.31)</f>
        <v>157.31</v>
      </c>
      <c r="D2948" s="1">
        <f>IFERROR(__xludf.DUMMYFUNCTION("""COMPUTED_VALUE"""),153.41)</f>
        <v>153.41</v>
      </c>
      <c r="E2948" s="1">
        <f>IFERROR(__xludf.DUMMYFUNCTION("""COMPUTED_VALUE"""),154.12)</f>
        <v>154.12</v>
      </c>
      <c r="F2948" s="1">
        <f>IFERROR(__xludf.DUMMYFUNCTION("""COMPUTED_VALUE"""),100714.0)</f>
        <v>100714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IFERROR(__xludf.DUMMYFUNCTION("""COMPUTED_VALUE"""),154.5)</f>
        <v>154.5</v>
      </c>
      <c r="C2949" s="1">
        <f>IFERROR(__xludf.DUMMYFUNCTION("""COMPUTED_VALUE"""),155.43)</f>
        <v>155.43</v>
      </c>
      <c r="D2949" s="1">
        <f>IFERROR(__xludf.DUMMYFUNCTION("""COMPUTED_VALUE"""),153.04)</f>
        <v>153.04</v>
      </c>
      <c r="E2949" s="1">
        <f>IFERROR(__xludf.DUMMYFUNCTION("""COMPUTED_VALUE"""),154.14)</f>
        <v>154.14</v>
      </c>
      <c r="F2949" s="1">
        <f>IFERROR(__xludf.DUMMYFUNCTION("""COMPUTED_VALUE"""),352945.0)</f>
        <v>352945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IFERROR(__xludf.DUMMYFUNCTION("""COMPUTED_VALUE"""),152.4)</f>
        <v>152.4</v>
      </c>
      <c r="C2950" s="1">
        <f>IFERROR(__xludf.DUMMYFUNCTION("""COMPUTED_VALUE"""),154.07)</f>
        <v>154.07</v>
      </c>
      <c r="D2950" s="1">
        <f>IFERROR(__xludf.DUMMYFUNCTION("""COMPUTED_VALUE"""),150.7)</f>
        <v>150.7</v>
      </c>
      <c r="E2950" s="1">
        <f>IFERROR(__xludf.DUMMYFUNCTION("""COMPUTED_VALUE"""),152.39)</f>
        <v>152.39</v>
      </c>
      <c r="F2950" s="1">
        <f>IFERROR(__xludf.DUMMYFUNCTION("""COMPUTED_VALUE"""),64259.0)</f>
        <v>64259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IFERROR(__xludf.DUMMYFUNCTION("""COMPUTED_VALUE"""),153.2)</f>
        <v>153.2</v>
      </c>
      <c r="C2951" s="1">
        <f>IFERROR(__xludf.DUMMYFUNCTION("""COMPUTED_VALUE"""),154.21)</f>
        <v>154.21</v>
      </c>
      <c r="D2951" s="1">
        <f>IFERROR(__xludf.DUMMYFUNCTION("""COMPUTED_VALUE"""),151.84)</f>
        <v>151.84</v>
      </c>
      <c r="E2951" s="1">
        <f>IFERROR(__xludf.DUMMYFUNCTION("""COMPUTED_VALUE"""),153.89)</f>
        <v>153.89</v>
      </c>
      <c r="F2951" s="1">
        <f>IFERROR(__xludf.DUMMYFUNCTION("""COMPUTED_VALUE"""),50395.0)</f>
        <v>50395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IFERROR(__xludf.DUMMYFUNCTION("""COMPUTED_VALUE"""),153.84)</f>
        <v>153.84</v>
      </c>
      <c r="C2952" s="1">
        <f>IFERROR(__xludf.DUMMYFUNCTION("""COMPUTED_VALUE"""),155.92)</f>
        <v>155.92</v>
      </c>
      <c r="D2952" s="1">
        <f>IFERROR(__xludf.DUMMYFUNCTION("""COMPUTED_VALUE"""),150.5)</f>
        <v>150.5</v>
      </c>
      <c r="E2952" s="1">
        <f>IFERROR(__xludf.DUMMYFUNCTION("""COMPUTED_VALUE"""),154.77)</f>
        <v>154.77</v>
      </c>
      <c r="F2952" s="1">
        <f>IFERROR(__xludf.DUMMYFUNCTION("""COMPUTED_VALUE"""),47941.0)</f>
        <v>47941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IFERROR(__xludf.DUMMYFUNCTION("""COMPUTED_VALUE"""),155.15)</f>
        <v>155.15</v>
      </c>
      <c r="C2953" s="1">
        <f>IFERROR(__xludf.DUMMYFUNCTION("""COMPUTED_VALUE"""),156.64)</f>
        <v>156.64</v>
      </c>
      <c r="D2953" s="1">
        <f>IFERROR(__xludf.DUMMYFUNCTION("""COMPUTED_VALUE"""),153.71)</f>
        <v>153.71</v>
      </c>
      <c r="E2953" s="1">
        <f>IFERROR(__xludf.DUMMYFUNCTION("""COMPUTED_VALUE"""),153.97)</f>
        <v>153.97</v>
      </c>
      <c r="F2953" s="1">
        <f>IFERROR(__xludf.DUMMYFUNCTION("""COMPUTED_VALUE"""),41466.0)</f>
        <v>41466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IFERROR(__xludf.DUMMYFUNCTION("""COMPUTED_VALUE"""),153.72)</f>
        <v>153.72</v>
      </c>
      <c r="C2954" s="1">
        <f>IFERROR(__xludf.DUMMYFUNCTION("""COMPUTED_VALUE"""),155.16)</f>
        <v>155.16</v>
      </c>
      <c r="D2954" s="1">
        <f>IFERROR(__xludf.DUMMYFUNCTION("""COMPUTED_VALUE"""),153.13)</f>
        <v>153.13</v>
      </c>
      <c r="E2954" s="1">
        <f>IFERROR(__xludf.DUMMYFUNCTION("""COMPUTED_VALUE"""),153.65)</f>
        <v>153.65</v>
      </c>
      <c r="F2954" s="1">
        <f>IFERROR(__xludf.DUMMYFUNCTION("""COMPUTED_VALUE"""),50333.0)</f>
        <v>50333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IFERROR(__xludf.DUMMYFUNCTION("""COMPUTED_VALUE"""),154.33)</f>
        <v>154.33</v>
      </c>
      <c r="C2955" s="1">
        <f>IFERROR(__xludf.DUMMYFUNCTION("""COMPUTED_VALUE"""),156.67)</f>
        <v>156.67</v>
      </c>
      <c r="D2955" s="1">
        <f>IFERROR(__xludf.DUMMYFUNCTION("""COMPUTED_VALUE"""),153.71)</f>
        <v>153.71</v>
      </c>
      <c r="E2955" s="1">
        <f>IFERROR(__xludf.DUMMYFUNCTION("""COMPUTED_VALUE"""),153.96)</f>
        <v>153.96</v>
      </c>
      <c r="F2955" s="1">
        <f>IFERROR(__xludf.DUMMYFUNCTION("""COMPUTED_VALUE"""),45870.0)</f>
        <v>45870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IFERROR(__xludf.DUMMYFUNCTION("""COMPUTED_VALUE"""),154.13)</f>
        <v>154.13</v>
      </c>
      <c r="C2956" s="1">
        <f>IFERROR(__xludf.DUMMYFUNCTION("""COMPUTED_VALUE"""),154.77)</f>
        <v>154.77</v>
      </c>
      <c r="D2956" s="1">
        <f>IFERROR(__xludf.DUMMYFUNCTION("""COMPUTED_VALUE"""),152.73)</f>
        <v>152.73</v>
      </c>
      <c r="E2956" s="1">
        <f>IFERROR(__xludf.DUMMYFUNCTION("""COMPUTED_VALUE"""),153.9)</f>
        <v>153.9</v>
      </c>
      <c r="F2956" s="1">
        <f>IFERROR(__xludf.DUMMYFUNCTION("""COMPUTED_VALUE"""),57890.0)</f>
        <v>57890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IFERROR(__xludf.DUMMYFUNCTION("""COMPUTED_VALUE"""),154.26)</f>
        <v>154.26</v>
      </c>
      <c r="C2957" s="1">
        <f>IFERROR(__xludf.DUMMYFUNCTION("""COMPUTED_VALUE"""),156.75)</f>
        <v>156.75</v>
      </c>
      <c r="D2957" s="1">
        <f>IFERROR(__xludf.DUMMYFUNCTION("""COMPUTED_VALUE"""),153.26)</f>
        <v>153.26</v>
      </c>
      <c r="E2957" s="1">
        <f>IFERROR(__xludf.DUMMYFUNCTION("""COMPUTED_VALUE"""),155.25)</f>
        <v>155.25</v>
      </c>
      <c r="F2957" s="1">
        <f>IFERROR(__xludf.DUMMYFUNCTION("""COMPUTED_VALUE"""),34212.0)</f>
        <v>34212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IFERROR(__xludf.DUMMYFUNCTION("""COMPUTED_VALUE"""),155.66)</f>
        <v>155.66</v>
      </c>
      <c r="C2958" s="1">
        <f>IFERROR(__xludf.DUMMYFUNCTION("""COMPUTED_VALUE"""),155.87)</f>
        <v>155.87</v>
      </c>
      <c r="D2958" s="1">
        <f>IFERROR(__xludf.DUMMYFUNCTION("""COMPUTED_VALUE"""),152.82)</f>
        <v>152.82</v>
      </c>
      <c r="E2958" s="1">
        <f>IFERROR(__xludf.DUMMYFUNCTION("""COMPUTED_VALUE"""),152.82)</f>
        <v>152.82</v>
      </c>
      <c r="F2958" s="1">
        <f>IFERROR(__xludf.DUMMYFUNCTION("""COMPUTED_VALUE"""),70604.0)</f>
        <v>70604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IFERROR(__xludf.DUMMYFUNCTION("""COMPUTED_VALUE"""),153.85)</f>
        <v>153.85</v>
      </c>
      <c r="C2959" s="1">
        <f>IFERROR(__xludf.DUMMYFUNCTION("""COMPUTED_VALUE"""),154.44)</f>
        <v>154.44</v>
      </c>
      <c r="D2959" s="1">
        <f>IFERROR(__xludf.DUMMYFUNCTION("""COMPUTED_VALUE"""),151.72)</f>
        <v>151.72</v>
      </c>
      <c r="E2959" s="1">
        <f>IFERROR(__xludf.DUMMYFUNCTION("""COMPUTED_VALUE"""),153.64)</f>
        <v>153.64</v>
      </c>
      <c r="F2959" s="1">
        <f>IFERROR(__xludf.DUMMYFUNCTION("""COMPUTED_VALUE"""),77372.0)</f>
        <v>77372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IFERROR(__xludf.DUMMYFUNCTION("""COMPUTED_VALUE"""),153.22)</f>
        <v>153.22</v>
      </c>
      <c r="C2960" s="1">
        <f>IFERROR(__xludf.DUMMYFUNCTION("""COMPUTED_VALUE"""),154.9)</f>
        <v>154.9</v>
      </c>
      <c r="D2960" s="1">
        <f>IFERROR(__xludf.DUMMYFUNCTION("""COMPUTED_VALUE"""),153.22)</f>
        <v>153.22</v>
      </c>
      <c r="E2960" s="1">
        <f>IFERROR(__xludf.DUMMYFUNCTION("""COMPUTED_VALUE"""),154.46)</f>
        <v>154.46</v>
      </c>
      <c r="F2960" s="1">
        <f>IFERROR(__xludf.DUMMYFUNCTION("""COMPUTED_VALUE"""),33223.0)</f>
        <v>33223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IFERROR(__xludf.DUMMYFUNCTION("""COMPUTED_VALUE"""),154.28)</f>
        <v>154.28</v>
      </c>
      <c r="C2961" s="1">
        <f>IFERROR(__xludf.DUMMYFUNCTION("""COMPUTED_VALUE"""),155.59)</f>
        <v>155.59</v>
      </c>
      <c r="D2961" s="1">
        <f>IFERROR(__xludf.DUMMYFUNCTION("""COMPUTED_VALUE"""),154.28)</f>
        <v>154.28</v>
      </c>
      <c r="E2961" s="1">
        <f>IFERROR(__xludf.DUMMYFUNCTION("""COMPUTED_VALUE"""),154.85)</f>
        <v>154.85</v>
      </c>
      <c r="F2961" s="1">
        <f>IFERROR(__xludf.DUMMYFUNCTION("""COMPUTED_VALUE"""),64691.0)</f>
        <v>64691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IFERROR(__xludf.DUMMYFUNCTION("""COMPUTED_VALUE"""),154.56)</f>
        <v>154.56</v>
      </c>
      <c r="C2962" s="1">
        <f>IFERROR(__xludf.DUMMYFUNCTION("""COMPUTED_VALUE"""),157.81)</f>
        <v>157.81</v>
      </c>
      <c r="D2962" s="1">
        <f>IFERROR(__xludf.DUMMYFUNCTION("""COMPUTED_VALUE"""),153.02)</f>
        <v>153.02</v>
      </c>
      <c r="E2962" s="1">
        <f>IFERROR(__xludf.DUMMYFUNCTION("""COMPUTED_VALUE"""),154.8)</f>
        <v>154.8</v>
      </c>
      <c r="F2962" s="1">
        <f>IFERROR(__xludf.DUMMYFUNCTION("""COMPUTED_VALUE"""),38664.0)</f>
        <v>38664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IFERROR(__xludf.DUMMYFUNCTION("""COMPUTED_VALUE"""),155.05)</f>
        <v>155.05</v>
      </c>
      <c r="C2963" s="1">
        <f>IFERROR(__xludf.DUMMYFUNCTION("""COMPUTED_VALUE"""),156.91)</f>
        <v>156.91</v>
      </c>
      <c r="D2963" s="1">
        <f>IFERROR(__xludf.DUMMYFUNCTION("""COMPUTED_VALUE"""),154.13)</f>
        <v>154.13</v>
      </c>
      <c r="E2963" s="1">
        <f>IFERROR(__xludf.DUMMYFUNCTION("""COMPUTED_VALUE"""),155.07)</f>
        <v>155.07</v>
      </c>
      <c r="F2963" s="1">
        <f>IFERROR(__xludf.DUMMYFUNCTION("""COMPUTED_VALUE"""),62147.0)</f>
        <v>62147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IFERROR(__xludf.DUMMYFUNCTION("""COMPUTED_VALUE"""),155.53)</f>
        <v>155.53</v>
      </c>
      <c r="C2964" s="1">
        <f>IFERROR(__xludf.DUMMYFUNCTION("""COMPUTED_VALUE"""),156.58)</f>
        <v>156.58</v>
      </c>
      <c r="D2964" s="1">
        <f>IFERROR(__xludf.DUMMYFUNCTION("""COMPUTED_VALUE"""),152.72)</f>
        <v>152.72</v>
      </c>
      <c r="E2964" s="1">
        <f>IFERROR(__xludf.DUMMYFUNCTION("""COMPUTED_VALUE"""),152.99)</f>
        <v>152.99</v>
      </c>
      <c r="F2964" s="1">
        <f>IFERROR(__xludf.DUMMYFUNCTION("""COMPUTED_VALUE"""),28058.0)</f>
        <v>28058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IFERROR(__xludf.DUMMYFUNCTION("""COMPUTED_VALUE"""),153.85)</f>
        <v>153.85</v>
      </c>
      <c r="C2965" s="1">
        <f>IFERROR(__xludf.DUMMYFUNCTION("""COMPUTED_VALUE"""),154.0)</f>
        <v>154</v>
      </c>
      <c r="D2965" s="1">
        <f>IFERROR(__xludf.DUMMYFUNCTION("""COMPUTED_VALUE"""),151.49)</f>
        <v>151.49</v>
      </c>
      <c r="E2965" s="1">
        <f>IFERROR(__xludf.DUMMYFUNCTION("""COMPUTED_VALUE"""),152.88)</f>
        <v>152.88</v>
      </c>
      <c r="F2965" s="1">
        <f>IFERROR(__xludf.DUMMYFUNCTION("""COMPUTED_VALUE"""),30347.0)</f>
        <v>30347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IFERROR(__xludf.DUMMYFUNCTION("""COMPUTED_VALUE"""),153.01)</f>
        <v>153.01</v>
      </c>
      <c r="C2966" s="1">
        <f>IFERROR(__xludf.DUMMYFUNCTION("""COMPUTED_VALUE"""),153.79)</f>
        <v>153.79</v>
      </c>
      <c r="D2966" s="1">
        <f>IFERROR(__xludf.DUMMYFUNCTION("""COMPUTED_VALUE"""),150.91)</f>
        <v>150.91</v>
      </c>
      <c r="E2966" s="1">
        <f>IFERROR(__xludf.DUMMYFUNCTION("""COMPUTED_VALUE"""),151.35)</f>
        <v>151.35</v>
      </c>
      <c r="F2966" s="1">
        <f>IFERROR(__xludf.DUMMYFUNCTION("""COMPUTED_VALUE"""),33188.0)</f>
        <v>33188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IFERROR(__xludf.DUMMYFUNCTION("""COMPUTED_VALUE"""),151.75)</f>
        <v>151.75</v>
      </c>
      <c r="C2967" s="1">
        <f>IFERROR(__xludf.DUMMYFUNCTION("""COMPUTED_VALUE"""),151.75)</f>
        <v>151.75</v>
      </c>
      <c r="D2967" s="1">
        <f>IFERROR(__xludf.DUMMYFUNCTION("""COMPUTED_VALUE"""),149.27)</f>
        <v>149.27</v>
      </c>
      <c r="E2967" s="1">
        <f>IFERROR(__xludf.DUMMYFUNCTION("""COMPUTED_VALUE"""),149.86)</f>
        <v>149.86</v>
      </c>
      <c r="F2967" s="1">
        <f>IFERROR(__xludf.DUMMYFUNCTION("""COMPUTED_VALUE"""),42202.0)</f>
        <v>42202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IFERROR(__xludf.DUMMYFUNCTION("""COMPUTED_VALUE"""),151.07)</f>
        <v>151.07</v>
      </c>
      <c r="C2968" s="1">
        <f>IFERROR(__xludf.DUMMYFUNCTION("""COMPUTED_VALUE"""),153.25)</f>
        <v>153.25</v>
      </c>
      <c r="D2968" s="1">
        <f>IFERROR(__xludf.DUMMYFUNCTION("""COMPUTED_VALUE"""),150.01)</f>
        <v>150.01</v>
      </c>
      <c r="E2968" s="1">
        <f>IFERROR(__xludf.DUMMYFUNCTION("""COMPUTED_VALUE"""),152.58)</f>
        <v>152.58</v>
      </c>
      <c r="F2968" s="1">
        <f>IFERROR(__xludf.DUMMYFUNCTION("""COMPUTED_VALUE"""),55308.0)</f>
        <v>55308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IFERROR(__xludf.DUMMYFUNCTION("""COMPUTED_VALUE"""),154.26)</f>
        <v>154.26</v>
      </c>
      <c r="C2969" s="1">
        <f>IFERROR(__xludf.DUMMYFUNCTION("""COMPUTED_VALUE"""),155.69)</f>
        <v>155.69</v>
      </c>
      <c r="D2969" s="1">
        <f>IFERROR(__xludf.DUMMYFUNCTION("""COMPUTED_VALUE"""),150.42)</f>
        <v>150.42</v>
      </c>
      <c r="E2969" s="1">
        <f>IFERROR(__xludf.DUMMYFUNCTION("""COMPUTED_VALUE"""),150.65)</f>
        <v>150.65</v>
      </c>
      <c r="F2969" s="1">
        <f>IFERROR(__xludf.DUMMYFUNCTION("""COMPUTED_VALUE"""),107370.0)</f>
        <v>107370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IFERROR(__xludf.DUMMYFUNCTION("""COMPUTED_VALUE"""),150.11)</f>
        <v>150.11</v>
      </c>
      <c r="C2970" s="1">
        <f>IFERROR(__xludf.DUMMYFUNCTION("""COMPUTED_VALUE"""),151.85)</f>
        <v>151.85</v>
      </c>
      <c r="D2970" s="1">
        <f>IFERROR(__xludf.DUMMYFUNCTION("""COMPUTED_VALUE"""),149.24)</f>
        <v>149.24</v>
      </c>
      <c r="E2970" s="1">
        <f>IFERROR(__xludf.DUMMYFUNCTION("""COMPUTED_VALUE"""),149.96)</f>
        <v>149.96</v>
      </c>
      <c r="F2970" s="1">
        <f>IFERROR(__xludf.DUMMYFUNCTION("""COMPUTED_VALUE"""),32399.0)</f>
        <v>32399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IFERROR(__xludf.DUMMYFUNCTION("""COMPUTED_VALUE"""),149.73)</f>
        <v>149.73</v>
      </c>
      <c r="C2971" s="1">
        <f>IFERROR(__xludf.DUMMYFUNCTION("""COMPUTED_VALUE"""),149.73)</f>
        <v>149.73</v>
      </c>
      <c r="D2971" s="1">
        <f>IFERROR(__xludf.DUMMYFUNCTION("""COMPUTED_VALUE"""),147.22)</f>
        <v>147.22</v>
      </c>
      <c r="E2971" s="1">
        <f>IFERROR(__xludf.DUMMYFUNCTION("""COMPUTED_VALUE"""),147.39)</f>
        <v>147.39</v>
      </c>
      <c r="F2971" s="1">
        <f>IFERROR(__xludf.DUMMYFUNCTION("""COMPUTED_VALUE"""),36471.0)</f>
        <v>36471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IFERROR(__xludf.DUMMYFUNCTION("""COMPUTED_VALUE"""),147.9)</f>
        <v>147.9</v>
      </c>
      <c r="C2972" s="1">
        <f>IFERROR(__xludf.DUMMYFUNCTION("""COMPUTED_VALUE"""),148.99)</f>
        <v>148.99</v>
      </c>
      <c r="D2972" s="1">
        <f>IFERROR(__xludf.DUMMYFUNCTION("""COMPUTED_VALUE"""),146.85)</f>
        <v>146.85</v>
      </c>
      <c r="E2972" s="1">
        <f>IFERROR(__xludf.DUMMYFUNCTION("""COMPUTED_VALUE"""),148.1)</f>
        <v>148.1</v>
      </c>
      <c r="F2972" s="1">
        <f>IFERROR(__xludf.DUMMYFUNCTION("""COMPUTED_VALUE"""),32679.0)</f>
        <v>32679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IFERROR(__xludf.DUMMYFUNCTION("""COMPUTED_VALUE"""),147.99)</f>
        <v>147.99</v>
      </c>
      <c r="C2973" s="1">
        <f>IFERROR(__xludf.DUMMYFUNCTION("""COMPUTED_VALUE"""),149.21)</f>
        <v>149.21</v>
      </c>
      <c r="D2973" s="1">
        <f>IFERROR(__xludf.DUMMYFUNCTION("""COMPUTED_VALUE"""),146.6)</f>
        <v>146.6</v>
      </c>
      <c r="E2973" s="1">
        <f>IFERROR(__xludf.DUMMYFUNCTION("""COMPUTED_VALUE"""),147.3)</f>
        <v>147.3</v>
      </c>
      <c r="F2973" s="1">
        <f>IFERROR(__xludf.DUMMYFUNCTION("""COMPUTED_VALUE"""),35286.0)</f>
        <v>35286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IFERROR(__xludf.DUMMYFUNCTION("""COMPUTED_VALUE"""),147.47)</f>
        <v>147.47</v>
      </c>
      <c r="C2974" s="1">
        <f>IFERROR(__xludf.DUMMYFUNCTION("""COMPUTED_VALUE"""),149.12)</f>
        <v>149.12</v>
      </c>
      <c r="D2974" s="1">
        <f>IFERROR(__xludf.DUMMYFUNCTION("""COMPUTED_VALUE"""),147.05)</f>
        <v>147.05</v>
      </c>
      <c r="E2974" s="1">
        <f>IFERROR(__xludf.DUMMYFUNCTION("""COMPUTED_VALUE"""),148.4)</f>
        <v>148.4</v>
      </c>
      <c r="F2974" s="1">
        <f>IFERROR(__xludf.DUMMYFUNCTION("""COMPUTED_VALUE"""),33686.0)</f>
        <v>33686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IFERROR(__xludf.DUMMYFUNCTION("""COMPUTED_VALUE"""),148.13)</f>
        <v>148.13</v>
      </c>
      <c r="C2975" s="1">
        <f>IFERROR(__xludf.DUMMYFUNCTION("""COMPUTED_VALUE"""),148.58)</f>
        <v>148.58</v>
      </c>
      <c r="D2975" s="1">
        <f>IFERROR(__xludf.DUMMYFUNCTION("""COMPUTED_VALUE"""),146.75)</f>
        <v>146.75</v>
      </c>
      <c r="E2975" s="1">
        <f>IFERROR(__xludf.DUMMYFUNCTION("""COMPUTED_VALUE"""),147.27)</f>
        <v>147.27</v>
      </c>
      <c r="F2975" s="1">
        <f>IFERROR(__xludf.DUMMYFUNCTION("""COMPUTED_VALUE"""),36608.0)</f>
        <v>36608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IFERROR(__xludf.DUMMYFUNCTION("""COMPUTED_VALUE"""),147.02)</f>
        <v>147.02</v>
      </c>
      <c r="C2976" s="1">
        <f>IFERROR(__xludf.DUMMYFUNCTION("""COMPUTED_VALUE"""),148.96)</f>
        <v>148.96</v>
      </c>
      <c r="D2976" s="1">
        <f>IFERROR(__xludf.DUMMYFUNCTION("""COMPUTED_VALUE"""),147.01)</f>
        <v>147.01</v>
      </c>
      <c r="E2976" s="1">
        <f>IFERROR(__xludf.DUMMYFUNCTION("""COMPUTED_VALUE"""),147.96)</f>
        <v>147.96</v>
      </c>
      <c r="F2976" s="1">
        <f>IFERROR(__xludf.DUMMYFUNCTION("""COMPUTED_VALUE"""),48907.0)</f>
        <v>48907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IFERROR(__xludf.DUMMYFUNCTION("""COMPUTED_VALUE"""),148.8)</f>
        <v>148.8</v>
      </c>
      <c r="C2977" s="1">
        <f>IFERROR(__xludf.DUMMYFUNCTION("""COMPUTED_VALUE"""),149.92)</f>
        <v>149.92</v>
      </c>
      <c r="D2977" s="1">
        <f>IFERROR(__xludf.DUMMYFUNCTION("""COMPUTED_VALUE"""),145.84)</f>
        <v>145.84</v>
      </c>
      <c r="E2977" s="1">
        <f>IFERROR(__xludf.DUMMYFUNCTION("""COMPUTED_VALUE"""),146.8)</f>
        <v>146.8</v>
      </c>
      <c r="F2977" s="1">
        <f>IFERROR(__xludf.DUMMYFUNCTION("""COMPUTED_VALUE"""),80909.0)</f>
        <v>80909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IFERROR(__xludf.DUMMYFUNCTION("""COMPUTED_VALUE"""),146.71)</f>
        <v>146.71</v>
      </c>
      <c r="C2978" s="1">
        <f>IFERROR(__xludf.DUMMYFUNCTION("""COMPUTED_VALUE"""),148.87)</f>
        <v>148.87</v>
      </c>
      <c r="D2978" s="1">
        <f>IFERROR(__xludf.DUMMYFUNCTION("""COMPUTED_VALUE"""),146.71)</f>
        <v>146.71</v>
      </c>
      <c r="E2978" s="1">
        <f>IFERROR(__xludf.DUMMYFUNCTION("""COMPUTED_VALUE"""),148.29)</f>
        <v>148.29</v>
      </c>
      <c r="F2978" s="1">
        <f>IFERROR(__xludf.DUMMYFUNCTION("""COMPUTED_VALUE"""),41341.0)</f>
        <v>41341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IFERROR(__xludf.DUMMYFUNCTION("""COMPUTED_VALUE"""),147.17)</f>
        <v>147.17</v>
      </c>
      <c r="C2979" s="1">
        <f>IFERROR(__xludf.DUMMYFUNCTION("""COMPUTED_VALUE"""),149.73)</f>
        <v>149.73</v>
      </c>
      <c r="D2979" s="1">
        <f>IFERROR(__xludf.DUMMYFUNCTION("""COMPUTED_VALUE"""),147.04)</f>
        <v>147.04</v>
      </c>
      <c r="E2979" s="1">
        <f>IFERROR(__xludf.DUMMYFUNCTION("""COMPUTED_VALUE"""),147.55)</f>
        <v>147.55</v>
      </c>
      <c r="F2979" s="1">
        <f>IFERROR(__xludf.DUMMYFUNCTION("""COMPUTED_VALUE"""),61222.0)</f>
        <v>61222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IFERROR(__xludf.DUMMYFUNCTION("""COMPUTED_VALUE"""),147.55)</f>
        <v>147.55</v>
      </c>
      <c r="C2980" s="1">
        <f>IFERROR(__xludf.DUMMYFUNCTION("""COMPUTED_VALUE"""),151.86)</f>
        <v>151.86</v>
      </c>
      <c r="D2980" s="1">
        <f>IFERROR(__xludf.DUMMYFUNCTION("""COMPUTED_VALUE"""),147.55)</f>
        <v>147.55</v>
      </c>
      <c r="E2980" s="1">
        <f>IFERROR(__xludf.DUMMYFUNCTION("""COMPUTED_VALUE"""),151.16)</f>
        <v>151.16</v>
      </c>
      <c r="F2980" s="1">
        <f>IFERROR(__xludf.DUMMYFUNCTION("""COMPUTED_VALUE"""),63639.0)</f>
        <v>63639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IFERROR(__xludf.DUMMYFUNCTION("""COMPUTED_VALUE"""),151.25)</f>
        <v>151.25</v>
      </c>
      <c r="C2981" s="1">
        <f>IFERROR(__xludf.DUMMYFUNCTION("""COMPUTED_VALUE"""),153.54)</f>
        <v>153.54</v>
      </c>
      <c r="D2981" s="1">
        <f>IFERROR(__xludf.DUMMYFUNCTION("""COMPUTED_VALUE"""),150.25)</f>
        <v>150.25</v>
      </c>
      <c r="E2981" s="1">
        <f>IFERROR(__xludf.DUMMYFUNCTION("""COMPUTED_VALUE"""),153.04)</f>
        <v>153.04</v>
      </c>
      <c r="F2981" s="1">
        <f>IFERROR(__xludf.DUMMYFUNCTION("""COMPUTED_VALUE"""),48363.0)</f>
        <v>48363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IFERROR(__xludf.DUMMYFUNCTION("""COMPUTED_VALUE"""),152.58)</f>
        <v>152.58</v>
      </c>
      <c r="C2982" s="1">
        <f>IFERROR(__xludf.DUMMYFUNCTION("""COMPUTED_VALUE"""),156.21)</f>
        <v>156.21</v>
      </c>
      <c r="D2982" s="1">
        <f>IFERROR(__xludf.DUMMYFUNCTION("""COMPUTED_VALUE"""),152.08)</f>
        <v>152.08</v>
      </c>
      <c r="E2982" s="1">
        <f>IFERROR(__xludf.DUMMYFUNCTION("""COMPUTED_VALUE"""),155.64)</f>
        <v>155.64</v>
      </c>
      <c r="F2982" s="1">
        <f>IFERROR(__xludf.DUMMYFUNCTION("""COMPUTED_VALUE"""),60956.0)</f>
        <v>60956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IFERROR(__xludf.DUMMYFUNCTION("""COMPUTED_VALUE"""),156.29)</f>
        <v>156.29</v>
      </c>
      <c r="C2983" s="1">
        <f>IFERROR(__xludf.DUMMYFUNCTION("""COMPUTED_VALUE"""),157.95)</f>
        <v>157.95</v>
      </c>
      <c r="D2983" s="1">
        <f>IFERROR(__xludf.DUMMYFUNCTION("""COMPUTED_VALUE"""),153.86)</f>
        <v>153.86</v>
      </c>
      <c r="E2983" s="1">
        <f>IFERROR(__xludf.DUMMYFUNCTION("""COMPUTED_VALUE"""),154.82)</f>
        <v>154.82</v>
      </c>
      <c r="F2983" s="1">
        <f>IFERROR(__xludf.DUMMYFUNCTION("""COMPUTED_VALUE"""),58324.0)</f>
        <v>58324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IFERROR(__xludf.DUMMYFUNCTION("""COMPUTED_VALUE"""),155.61)</f>
        <v>155.61</v>
      </c>
      <c r="C2984" s="1">
        <f>IFERROR(__xludf.DUMMYFUNCTION("""COMPUTED_VALUE"""),157.96)</f>
        <v>157.96</v>
      </c>
      <c r="D2984" s="1">
        <f>IFERROR(__xludf.DUMMYFUNCTION("""COMPUTED_VALUE"""),155.61)</f>
        <v>155.61</v>
      </c>
      <c r="E2984" s="1">
        <f>IFERROR(__xludf.DUMMYFUNCTION("""COMPUTED_VALUE"""),156.78)</f>
        <v>156.78</v>
      </c>
      <c r="F2984" s="1">
        <f>IFERROR(__xludf.DUMMYFUNCTION("""COMPUTED_VALUE"""),45491.0)</f>
        <v>45491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IFERROR(__xludf.DUMMYFUNCTION("""COMPUTED_VALUE"""),157.73)</f>
        <v>157.73</v>
      </c>
      <c r="C2985" s="1">
        <f>IFERROR(__xludf.DUMMYFUNCTION("""COMPUTED_VALUE"""),157.8)</f>
        <v>157.8</v>
      </c>
      <c r="D2985" s="1">
        <f>IFERROR(__xludf.DUMMYFUNCTION("""COMPUTED_VALUE"""),154.97)</f>
        <v>154.97</v>
      </c>
      <c r="E2985" s="1">
        <f>IFERROR(__xludf.DUMMYFUNCTION("""COMPUTED_VALUE"""),155.86)</f>
        <v>155.86</v>
      </c>
      <c r="F2985" s="1">
        <f>IFERROR(__xludf.DUMMYFUNCTION("""COMPUTED_VALUE"""),37346.0)</f>
        <v>37346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IFERROR(__xludf.DUMMYFUNCTION("""COMPUTED_VALUE"""),155.95)</f>
        <v>155.95</v>
      </c>
      <c r="C2986" s="1">
        <f>IFERROR(__xludf.DUMMYFUNCTION("""COMPUTED_VALUE"""),156.07)</f>
        <v>156.07</v>
      </c>
      <c r="D2986" s="1">
        <f>IFERROR(__xludf.DUMMYFUNCTION("""COMPUTED_VALUE"""),154.78)</f>
        <v>154.78</v>
      </c>
      <c r="E2986" s="1">
        <f>IFERROR(__xludf.DUMMYFUNCTION("""COMPUTED_VALUE"""),155.48)</f>
        <v>155.48</v>
      </c>
      <c r="F2986" s="1">
        <f>IFERROR(__xludf.DUMMYFUNCTION("""COMPUTED_VALUE"""),31340.0)</f>
        <v>31340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IFERROR(__xludf.DUMMYFUNCTION("""COMPUTED_VALUE"""),155.66)</f>
        <v>155.66</v>
      </c>
      <c r="C2987" s="1">
        <f>IFERROR(__xludf.DUMMYFUNCTION("""COMPUTED_VALUE"""),156.23)</f>
        <v>156.23</v>
      </c>
      <c r="D2987" s="1">
        <f>IFERROR(__xludf.DUMMYFUNCTION("""COMPUTED_VALUE"""),154.76)</f>
        <v>154.76</v>
      </c>
      <c r="E2987" s="1">
        <f>IFERROR(__xludf.DUMMYFUNCTION("""COMPUTED_VALUE"""),155.01)</f>
        <v>155.01</v>
      </c>
      <c r="F2987" s="1">
        <f>IFERROR(__xludf.DUMMYFUNCTION("""COMPUTED_VALUE"""),40972.0)</f>
        <v>40972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IFERROR(__xludf.DUMMYFUNCTION("""COMPUTED_VALUE"""),154.86)</f>
        <v>154.86</v>
      </c>
      <c r="C2988" s="1">
        <f>IFERROR(__xludf.DUMMYFUNCTION("""COMPUTED_VALUE"""),156.12)</f>
        <v>156.12</v>
      </c>
      <c r="D2988" s="1">
        <f>IFERROR(__xludf.DUMMYFUNCTION("""COMPUTED_VALUE"""),152.8)</f>
        <v>152.8</v>
      </c>
      <c r="E2988" s="1">
        <f>IFERROR(__xludf.DUMMYFUNCTION("""COMPUTED_VALUE"""),154.11)</f>
        <v>154.11</v>
      </c>
      <c r="F2988" s="1">
        <f>IFERROR(__xludf.DUMMYFUNCTION("""COMPUTED_VALUE"""),52609.0)</f>
        <v>52609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IFERROR(__xludf.DUMMYFUNCTION("""COMPUTED_VALUE"""),154.3)</f>
        <v>154.3</v>
      </c>
      <c r="C2989" s="1">
        <f>IFERROR(__xludf.DUMMYFUNCTION("""COMPUTED_VALUE"""),155.62)</f>
        <v>155.62</v>
      </c>
      <c r="D2989" s="1">
        <f>IFERROR(__xludf.DUMMYFUNCTION("""COMPUTED_VALUE"""),153.36)</f>
        <v>153.36</v>
      </c>
      <c r="E2989" s="1">
        <f>IFERROR(__xludf.DUMMYFUNCTION("""COMPUTED_VALUE"""),154.85)</f>
        <v>154.85</v>
      </c>
      <c r="F2989" s="1">
        <f>IFERROR(__xludf.DUMMYFUNCTION("""COMPUTED_VALUE"""),39987.0)</f>
        <v>39987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IFERROR(__xludf.DUMMYFUNCTION("""COMPUTED_VALUE"""),155.6)</f>
        <v>155.6</v>
      </c>
      <c r="C2990" s="1">
        <f>IFERROR(__xludf.DUMMYFUNCTION("""COMPUTED_VALUE"""),158.05)</f>
        <v>158.05</v>
      </c>
      <c r="D2990" s="1">
        <f>IFERROR(__xludf.DUMMYFUNCTION("""COMPUTED_VALUE"""),155.1)</f>
        <v>155.1</v>
      </c>
      <c r="E2990" s="1">
        <f>IFERROR(__xludf.DUMMYFUNCTION("""COMPUTED_VALUE"""),156.98)</f>
        <v>156.98</v>
      </c>
      <c r="F2990" s="1">
        <f>IFERROR(__xludf.DUMMYFUNCTION("""COMPUTED_VALUE"""),59666.0)</f>
        <v>59666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IFERROR(__xludf.DUMMYFUNCTION("""COMPUTED_VALUE"""),150.86)</f>
        <v>150.86</v>
      </c>
      <c r="C2991" s="1">
        <f>IFERROR(__xludf.DUMMYFUNCTION("""COMPUTED_VALUE"""),156.0)</f>
        <v>156</v>
      </c>
      <c r="D2991" s="1">
        <f>IFERROR(__xludf.DUMMYFUNCTION("""COMPUTED_VALUE"""),147.57)</f>
        <v>147.57</v>
      </c>
      <c r="E2991" s="1">
        <f>IFERROR(__xludf.DUMMYFUNCTION("""COMPUTED_VALUE"""),152.03)</f>
        <v>152.03</v>
      </c>
      <c r="F2991" s="1">
        <f>IFERROR(__xludf.DUMMYFUNCTION("""COMPUTED_VALUE"""),77868.0)</f>
        <v>77868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IFERROR(__xludf.DUMMYFUNCTION("""COMPUTED_VALUE"""),150.84)</f>
        <v>150.84</v>
      </c>
      <c r="C2992" s="1">
        <f>IFERROR(__xludf.DUMMYFUNCTION("""COMPUTED_VALUE"""),152.65)</f>
        <v>152.65</v>
      </c>
      <c r="D2992" s="1">
        <f>IFERROR(__xludf.DUMMYFUNCTION("""COMPUTED_VALUE"""),149.31)</f>
        <v>149.31</v>
      </c>
      <c r="E2992" s="1">
        <f>IFERROR(__xludf.DUMMYFUNCTION("""COMPUTED_VALUE"""),149.76)</f>
        <v>149.76</v>
      </c>
      <c r="F2992" s="1">
        <f>IFERROR(__xludf.DUMMYFUNCTION("""COMPUTED_VALUE"""),60844.0)</f>
        <v>60844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IFERROR(__xludf.DUMMYFUNCTION("""COMPUTED_VALUE"""),150.49)</f>
        <v>150.49</v>
      </c>
      <c r="C2993" s="1">
        <f>IFERROR(__xludf.DUMMYFUNCTION("""COMPUTED_VALUE"""),150.49)</f>
        <v>150.49</v>
      </c>
      <c r="D2993" s="1">
        <f>IFERROR(__xludf.DUMMYFUNCTION("""COMPUTED_VALUE"""),146.41)</f>
        <v>146.41</v>
      </c>
      <c r="E2993" s="1">
        <f>IFERROR(__xludf.DUMMYFUNCTION("""COMPUTED_VALUE"""),148.29)</f>
        <v>148.29</v>
      </c>
      <c r="F2993" s="1">
        <f>IFERROR(__xludf.DUMMYFUNCTION("""COMPUTED_VALUE"""),65404.0)</f>
        <v>65404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IFERROR(__xludf.DUMMYFUNCTION("""COMPUTED_VALUE"""),147.64)</f>
        <v>147.64</v>
      </c>
      <c r="C2994" s="1">
        <f>IFERROR(__xludf.DUMMYFUNCTION("""COMPUTED_VALUE"""),147.79)</f>
        <v>147.79</v>
      </c>
      <c r="D2994" s="1">
        <f>IFERROR(__xludf.DUMMYFUNCTION("""COMPUTED_VALUE"""),144.01)</f>
        <v>144.01</v>
      </c>
      <c r="E2994" s="1">
        <f>IFERROR(__xludf.DUMMYFUNCTION("""COMPUTED_VALUE"""),144.55)</f>
        <v>144.55</v>
      </c>
      <c r="F2994" s="1">
        <f>IFERROR(__xludf.DUMMYFUNCTION("""COMPUTED_VALUE"""),68268.0)</f>
        <v>68268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IFERROR(__xludf.DUMMYFUNCTION("""COMPUTED_VALUE"""),145.11)</f>
        <v>145.11</v>
      </c>
      <c r="C2995" s="1">
        <f>IFERROR(__xludf.DUMMYFUNCTION("""COMPUTED_VALUE"""),148.92)</f>
        <v>148.92</v>
      </c>
      <c r="D2995" s="1">
        <f>IFERROR(__xludf.DUMMYFUNCTION("""COMPUTED_VALUE"""),144.6)</f>
        <v>144.6</v>
      </c>
      <c r="E2995" s="1">
        <f>IFERROR(__xludf.DUMMYFUNCTION("""COMPUTED_VALUE"""),147.58)</f>
        <v>147.58</v>
      </c>
      <c r="F2995" s="1">
        <f>IFERROR(__xludf.DUMMYFUNCTION("""COMPUTED_VALUE"""),58048.0)</f>
        <v>58048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IFERROR(__xludf.DUMMYFUNCTION("""COMPUTED_VALUE"""),147.78)</f>
        <v>147.78</v>
      </c>
      <c r="C2996" s="1">
        <f>IFERROR(__xludf.DUMMYFUNCTION("""COMPUTED_VALUE"""),149.37)</f>
        <v>149.37</v>
      </c>
      <c r="D2996" s="1">
        <f>IFERROR(__xludf.DUMMYFUNCTION("""COMPUTED_VALUE"""),146.58)</f>
        <v>146.58</v>
      </c>
      <c r="E2996" s="1">
        <f>IFERROR(__xludf.DUMMYFUNCTION("""COMPUTED_VALUE"""),148.51)</f>
        <v>148.51</v>
      </c>
      <c r="F2996" s="1">
        <f>IFERROR(__xludf.DUMMYFUNCTION("""COMPUTED_VALUE"""),45574.0)</f>
        <v>45574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IFERROR(__xludf.DUMMYFUNCTION("""COMPUTED_VALUE"""),149.85)</f>
        <v>149.85</v>
      </c>
      <c r="C2997" s="1">
        <f>IFERROR(__xludf.DUMMYFUNCTION("""COMPUTED_VALUE"""),151.85)</f>
        <v>151.85</v>
      </c>
      <c r="D2997" s="1">
        <f>IFERROR(__xludf.DUMMYFUNCTION("""COMPUTED_VALUE"""),147.64)</f>
        <v>147.64</v>
      </c>
      <c r="E2997" s="1">
        <f>IFERROR(__xludf.DUMMYFUNCTION("""COMPUTED_VALUE"""),149.55)</f>
        <v>149.55</v>
      </c>
      <c r="F2997" s="1">
        <f>IFERROR(__xludf.DUMMYFUNCTION("""COMPUTED_VALUE"""),58870.0)</f>
        <v>58870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IFERROR(__xludf.DUMMYFUNCTION("""COMPUTED_VALUE"""),147.61)</f>
        <v>147.61</v>
      </c>
      <c r="C2998" s="1">
        <f>IFERROR(__xludf.DUMMYFUNCTION("""COMPUTED_VALUE"""),148.25)</f>
        <v>148.25</v>
      </c>
      <c r="D2998" s="1">
        <f>IFERROR(__xludf.DUMMYFUNCTION("""COMPUTED_VALUE"""),141.93)</f>
        <v>141.93</v>
      </c>
      <c r="E2998" s="1">
        <f>IFERROR(__xludf.DUMMYFUNCTION("""COMPUTED_VALUE"""),142.15)</f>
        <v>142.15</v>
      </c>
      <c r="F2998" s="1">
        <f>IFERROR(__xludf.DUMMYFUNCTION("""COMPUTED_VALUE"""),82398.0)</f>
        <v>82398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IFERROR(__xludf.DUMMYFUNCTION("""COMPUTED_VALUE"""),148.0)</f>
        <v>148</v>
      </c>
      <c r="C2999" s="1">
        <f>IFERROR(__xludf.DUMMYFUNCTION("""COMPUTED_VALUE"""),152.23)</f>
        <v>152.23</v>
      </c>
      <c r="D2999" s="1">
        <f>IFERROR(__xludf.DUMMYFUNCTION("""COMPUTED_VALUE"""),142.49)</f>
        <v>142.49</v>
      </c>
      <c r="E2999" s="1">
        <f>IFERROR(__xludf.DUMMYFUNCTION("""COMPUTED_VALUE"""),142.73)</f>
        <v>142.73</v>
      </c>
      <c r="F2999" s="1">
        <f>IFERROR(__xludf.DUMMYFUNCTION("""COMPUTED_VALUE"""),92128.0)</f>
        <v>92128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IFERROR(__xludf.DUMMYFUNCTION("""COMPUTED_VALUE"""),137.55)</f>
        <v>137.55</v>
      </c>
      <c r="C3000" s="1">
        <f>IFERROR(__xludf.DUMMYFUNCTION("""COMPUTED_VALUE"""),139.85)</f>
        <v>139.85</v>
      </c>
      <c r="D3000" s="1">
        <f>IFERROR(__xludf.DUMMYFUNCTION("""COMPUTED_VALUE"""),135.3)</f>
        <v>135.3</v>
      </c>
      <c r="E3000" s="1">
        <f>IFERROR(__xludf.DUMMYFUNCTION("""COMPUTED_VALUE"""),136.58)</f>
        <v>136.58</v>
      </c>
      <c r="F3000" s="1">
        <f>IFERROR(__xludf.DUMMYFUNCTION("""COMPUTED_VALUE"""),121570.0)</f>
        <v>121570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IFERROR(__xludf.DUMMYFUNCTION("""COMPUTED_VALUE"""),137.45)</f>
        <v>137.45</v>
      </c>
      <c r="C3001" s="1">
        <f>IFERROR(__xludf.DUMMYFUNCTION("""COMPUTED_VALUE"""),141.17)</f>
        <v>141.17</v>
      </c>
      <c r="D3001" s="1">
        <f>IFERROR(__xludf.DUMMYFUNCTION("""COMPUTED_VALUE"""),134.68)</f>
        <v>134.68</v>
      </c>
      <c r="E3001" s="1">
        <f>IFERROR(__xludf.DUMMYFUNCTION("""COMPUTED_VALUE"""),135.04)</f>
        <v>135.04</v>
      </c>
      <c r="F3001" s="1">
        <f>IFERROR(__xludf.DUMMYFUNCTION("""COMPUTED_VALUE"""),79503.0)</f>
        <v>79503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IFERROR(__xludf.DUMMYFUNCTION("""COMPUTED_VALUE"""),136.99)</f>
        <v>136.99</v>
      </c>
      <c r="C3002" s="1">
        <f>IFERROR(__xludf.DUMMYFUNCTION("""COMPUTED_VALUE"""),140.61)</f>
        <v>140.61</v>
      </c>
      <c r="D3002" s="1">
        <f>IFERROR(__xludf.DUMMYFUNCTION("""COMPUTED_VALUE"""),136.33)</f>
        <v>136.33</v>
      </c>
      <c r="E3002" s="1">
        <f>IFERROR(__xludf.DUMMYFUNCTION("""COMPUTED_VALUE"""),139.22)</f>
        <v>139.22</v>
      </c>
      <c r="F3002" s="1">
        <f>IFERROR(__xludf.DUMMYFUNCTION("""COMPUTED_VALUE"""),77669.0)</f>
        <v>77669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IFERROR(__xludf.DUMMYFUNCTION("""COMPUTED_VALUE"""),139.22)</f>
        <v>139.22</v>
      </c>
      <c r="C3003" s="1">
        <f>IFERROR(__xludf.DUMMYFUNCTION("""COMPUTED_VALUE"""),141.18)</f>
        <v>141.18</v>
      </c>
      <c r="D3003" s="1">
        <f>IFERROR(__xludf.DUMMYFUNCTION("""COMPUTED_VALUE"""),138.56)</f>
        <v>138.56</v>
      </c>
      <c r="E3003" s="1">
        <f>IFERROR(__xludf.DUMMYFUNCTION("""COMPUTED_VALUE"""),139.26)</f>
        <v>139.26</v>
      </c>
      <c r="F3003" s="1">
        <f>IFERROR(__xludf.DUMMYFUNCTION("""COMPUTED_VALUE"""),62862.0)</f>
        <v>62862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IFERROR(__xludf.DUMMYFUNCTION("""COMPUTED_VALUE"""),141.65)</f>
        <v>141.65</v>
      </c>
      <c r="C3004" s="1">
        <f>IFERROR(__xludf.DUMMYFUNCTION("""COMPUTED_VALUE"""),143.27)</f>
        <v>143.27</v>
      </c>
      <c r="D3004" s="1">
        <f>IFERROR(__xludf.DUMMYFUNCTION("""COMPUTED_VALUE"""),139.85)</f>
        <v>139.85</v>
      </c>
      <c r="E3004" s="1">
        <f>IFERROR(__xludf.DUMMYFUNCTION("""COMPUTED_VALUE"""),141.26)</f>
        <v>141.26</v>
      </c>
      <c r="F3004" s="1">
        <f>IFERROR(__xludf.DUMMYFUNCTION("""COMPUTED_VALUE"""),112674.0)</f>
        <v>112674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IFERROR(__xludf.DUMMYFUNCTION("""COMPUTED_VALUE"""),142.66)</f>
        <v>142.66</v>
      </c>
      <c r="C3005" s="1">
        <f>IFERROR(__xludf.DUMMYFUNCTION("""COMPUTED_VALUE"""),144.09)</f>
        <v>144.09</v>
      </c>
      <c r="D3005" s="1">
        <f>IFERROR(__xludf.DUMMYFUNCTION("""COMPUTED_VALUE"""),141.44)</f>
        <v>141.44</v>
      </c>
      <c r="E3005" s="1">
        <f>IFERROR(__xludf.DUMMYFUNCTION("""COMPUTED_VALUE"""),143.02)</f>
        <v>143.02</v>
      </c>
      <c r="F3005" s="1">
        <f>IFERROR(__xludf.DUMMYFUNCTION("""COMPUTED_VALUE"""),79669.0)</f>
        <v>79669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IFERROR(__xludf.DUMMYFUNCTION("""COMPUTED_VALUE"""),143.43)</f>
        <v>143.43</v>
      </c>
      <c r="C3006" s="1">
        <f>IFERROR(__xludf.DUMMYFUNCTION("""COMPUTED_VALUE"""),146.4)</f>
        <v>146.4</v>
      </c>
      <c r="D3006" s="1">
        <f>IFERROR(__xludf.DUMMYFUNCTION("""COMPUTED_VALUE"""),142.17)</f>
        <v>142.17</v>
      </c>
      <c r="E3006" s="1">
        <f>IFERROR(__xludf.DUMMYFUNCTION("""COMPUTED_VALUE"""),145.48)</f>
        <v>145.48</v>
      </c>
      <c r="F3006" s="1">
        <f>IFERROR(__xludf.DUMMYFUNCTION("""COMPUTED_VALUE"""),95578.0)</f>
        <v>95578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IFERROR(__xludf.DUMMYFUNCTION("""COMPUTED_VALUE"""),144.52)</f>
        <v>144.52</v>
      </c>
      <c r="C3007" s="1">
        <f>IFERROR(__xludf.DUMMYFUNCTION("""COMPUTED_VALUE"""),146.74)</f>
        <v>146.74</v>
      </c>
      <c r="D3007" s="1">
        <f>IFERROR(__xludf.DUMMYFUNCTION("""COMPUTED_VALUE"""),142.08)</f>
        <v>142.08</v>
      </c>
      <c r="E3007" s="1">
        <f>IFERROR(__xludf.DUMMYFUNCTION("""COMPUTED_VALUE"""),144.0)</f>
        <v>144</v>
      </c>
      <c r="F3007" s="1">
        <f>IFERROR(__xludf.DUMMYFUNCTION("""COMPUTED_VALUE"""),84596.0)</f>
        <v>84596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IFERROR(__xludf.DUMMYFUNCTION("""COMPUTED_VALUE"""),143.12)</f>
        <v>143.12</v>
      </c>
      <c r="C3008" s="1">
        <f>IFERROR(__xludf.DUMMYFUNCTION("""COMPUTED_VALUE"""),145.79)</f>
        <v>145.79</v>
      </c>
      <c r="D3008" s="1">
        <f>IFERROR(__xludf.DUMMYFUNCTION("""COMPUTED_VALUE"""),142.79)</f>
        <v>142.79</v>
      </c>
      <c r="E3008" s="1">
        <f>IFERROR(__xludf.DUMMYFUNCTION("""COMPUTED_VALUE"""),145.71)</f>
        <v>145.71</v>
      </c>
      <c r="F3008" s="1">
        <f>IFERROR(__xludf.DUMMYFUNCTION("""COMPUTED_VALUE"""),61373.0)</f>
        <v>61373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IFERROR(__xludf.DUMMYFUNCTION("""COMPUTED_VALUE"""),144.97)</f>
        <v>144.97</v>
      </c>
      <c r="C3009" s="1">
        <f>IFERROR(__xludf.DUMMYFUNCTION("""COMPUTED_VALUE"""),148.31)</f>
        <v>148.31</v>
      </c>
      <c r="D3009" s="1">
        <f>IFERROR(__xludf.DUMMYFUNCTION("""COMPUTED_VALUE"""),144.7)</f>
        <v>144.7</v>
      </c>
      <c r="E3009" s="1">
        <f>IFERROR(__xludf.DUMMYFUNCTION("""COMPUTED_VALUE"""),147.54)</f>
        <v>147.54</v>
      </c>
      <c r="F3009" s="1">
        <f>IFERROR(__xludf.DUMMYFUNCTION("""COMPUTED_VALUE"""),67147.0)</f>
        <v>67147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IFERROR(__xludf.DUMMYFUNCTION("""COMPUTED_VALUE"""),147.69)</f>
        <v>147.69</v>
      </c>
      <c r="C3010" s="1">
        <f>IFERROR(__xludf.DUMMYFUNCTION("""COMPUTED_VALUE"""),148.76)</f>
        <v>148.76</v>
      </c>
      <c r="D3010" s="1">
        <f>IFERROR(__xludf.DUMMYFUNCTION("""COMPUTED_VALUE"""),145.7)</f>
        <v>145.7</v>
      </c>
      <c r="E3010" s="1">
        <f>IFERROR(__xludf.DUMMYFUNCTION("""COMPUTED_VALUE"""),147.91)</f>
        <v>147.91</v>
      </c>
      <c r="F3010" s="1">
        <f>IFERROR(__xludf.DUMMYFUNCTION("""COMPUTED_VALUE"""),95719.0)</f>
        <v>95719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IFERROR(__xludf.DUMMYFUNCTION("""COMPUTED_VALUE"""),147.83)</f>
        <v>147.83</v>
      </c>
      <c r="C3011" s="1">
        <f>IFERROR(__xludf.DUMMYFUNCTION("""COMPUTED_VALUE"""),151.39)</f>
        <v>151.39</v>
      </c>
      <c r="D3011" s="1">
        <f>IFERROR(__xludf.DUMMYFUNCTION("""COMPUTED_VALUE"""),147.83)</f>
        <v>147.83</v>
      </c>
      <c r="E3011" s="1">
        <f>IFERROR(__xludf.DUMMYFUNCTION("""COMPUTED_VALUE"""),151.29)</f>
        <v>151.29</v>
      </c>
      <c r="F3011" s="1">
        <f>IFERROR(__xludf.DUMMYFUNCTION("""COMPUTED_VALUE"""),161645.0)</f>
        <v>161645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IFERROR(__xludf.DUMMYFUNCTION("""COMPUTED_VALUE"""),152.45)</f>
        <v>152.45</v>
      </c>
      <c r="C3012" s="1">
        <f>IFERROR(__xludf.DUMMYFUNCTION("""COMPUTED_VALUE"""),154.81)</f>
        <v>154.81</v>
      </c>
      <c r="D3012" s="1">
        <f>IFERROR(__xludf.DUMMYFUNCTION("""COMPUTED_VALUE"""),151.18)</f>
        <v>151.18</v>
      </c>
      <c r="E3012" s="1">
        <f>IFERROR(__xludf.DUMMYFUNCTION("""COMPUTED_VALUE"""),153.16)</f>
        <v>153.16</v>
      </c>
      <c r="F3012" s="1">
        <f>IFERROR(__xludf.DUMMYFUNCTION("""COMPUTED_VALUE"""),153855.0)</f>
        <v>153855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IFERROR(__xludf.DUMMYFUNCTION("""COMPUTED_VALUE"""),152.78)</f>
        <v>152.78</v>
      </c>
      <c r="C3013" s="1">
        <f>IFERROR(__xludf.DUMMYFUNCTION("""COMPUTED_VALUE"""),156.41)</f>
        <v>156.41</v>
      </c>
      <c r="D3013" s="1">
        <f>IFERROR(__xludf.DUMMYFUNCTION("""COMPUTED_VALUE"""),151.8)</f>
        <v>151.8</v>
      </c>
      <c r="E3013" s="1">
        <f>IFERROR(__xludf.DUMMYFUNCTION("""COMPUTED_VALUE"""),155.19)</f>
        <v>155.19</v>
      </c>
      <c r="F3013" s="1">
        <f>IFERROR(__xludf.DUMMYFUNCTION("""COMPUTED_VALUE"""),320373.0)</f>
        <v>320373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IFERROR(__xludf.DUMMYFUNCTION("""COMPUTED_VALUE"""),153.59)</f>
        <v>153.59</v>
      </c>
      <c r="C3014" s="1">
        <f>IFERROR(__xludf.DUMMYFUNCTION("""COMPUTED_VALUE"""),154.65)</f>
        <v>154.65</v>
      </c>
      <c r="D3014" s="1">
        <f>IFERROR(__xludf.DUMMYFUNCTION("""COMPUTED_VALUE"""),151.9)</f>
        <v>151.9</v>
      </c>
      <c r="E3014" s="1">
        <f>IFERROR(__xludf.DUMMYFUNCTION("""COMPUTED_VALUE"""),153.8)</f>
        <v>153.8</v>
      </c>
      <c r="F3014" s="1">
        <f>IFERROR(__xludf.DUMMYFUNCTION("""COMPUTED_VALUE"""),116663.0)</f>
        <v>116663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IFERROR(__xludf.DUMMYFUNCTION("""COMPUTED_VALUE"""),154.49)</f>
        <v>154.49</v>
      </c>
      <c r="C3015" s="1">
        <f>IFERROR(__xludf.DUMMYFUNCTION("""COMPUTED_VALUE"""),156.8)</f>
        <v>156.8</v>
      </c>
      <c r="D3015" s="1">
        <f>IFERROR(__xludf.DUMMYFUNCTION("""COMPUTED_VALUE"""),153.93)</f>
        <v>153.93</v>
      </c>
      <c r="E3015" s="1">
        <f>IFERROR(__xludf.DUMMYFUNCTION("""COMPUTED_VALUE"""),156.39)</f>
        <v>156.39</v>
      </c>
      <c r="F3015" s="1">
        <f>IFERROR(__xludf.DUMMYFUNCTION("""COMPUTED_VALUE"""),115548.0)</f>
        <v>115548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IFERROR(__xludf.DUMMYFUNCTION("""COMPUTED_VALUE"""),156.55)</f>
        <v>156.55</v>
      </c>
      <c r="C3016" s="1">
        <f>IFERROR(__xludf.DUMMYFUNCTION("""COMPUTED_VALUE"""),157.38)</f>
        <v>157.38</v>
      </c>
      <c r="D3016" s="1">
        <f>IFERROR(__xludf.DUMMYFUNCTION("""COMPUTED_VALUE"""),155.52)</f>
        <v>155.52</v>
      </c>
      <c r="E3016" s="1">
        <f>IFERROR(__xludf.DUMMYFUNCTION("""COMPUTED_VALUE"""),156.35)</f>
        <v>156.35</v>
      </c>
      <c r="F3016" s="1">
        <f>IFERROR(__xludf.DUMMYFUNCTION("""COMPUTED_VALUE"""),55336.0)</f>
        <v>55336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IFERROR(__xludf.DUMMYFUNCTION("""COMPUTED_VALUE"""),156.76)</f>
        <v>156.76</v>
      </c>
      <c r="C3017" s="1">
        <f>IFERROR(__xludf.DUMMYFUNCTION("""COMPUTED_VALUE"""),157.7)</f>
        <v>157.7</v>
      </c>
      <c r="D3017" s="1">
        <f>IFERROR(__xludf.DUMMYFUNCTION("""COMPUTED_VALUE"""),155.48)</f>
        <v>155.48</v>
      </c>
      <c r="E3017" s="1">
        <f>IFERROR(__xludf.DUMMYFUNCTION("""COMPUTED_VALUE"""),155.95)</f>
        <v>155.95</v>
      </c>
      <c r="F3017" s="1">
        <f>IFERROR(__xludf.DUMMYFUNCTION("""COMPUTED_VALUE"""),118231.0)</f>
        <v>118231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IFERROR(__xludf.DUMMYFUNCTION("""COMPUTED_VALUE"""),156.16)</f>
        <v>156.16</v>
      </c>
      <c r="C3018" s="1">
        <f>IFERROR(__xludf.DUMMYFUNCTION("""COMPUTED_VALUE"""),157.79)</f>
        <v>157.79</v>
      </c>
      <c r="D3018" s="1">
        <f>IFERROR(__xludf.DUMMYFUNCTION("""COMPUTED_VALUE"""),155.75)</f>
        <v>155.75</v>
      </c>
      <c r="E3018" s="1">
        <f>IFERROR(__xludf.DUMMYFUNCTION("""COMPUTED_VALUE"""),157.36)</f>
        <v>157.36</v>
      </c>
      <c r="F3018" s="1">
        <f>IFERROR(__xludf.DUMMYFUNCTION("""COMPUTED_VALUE"""),43515.0)</f>
        <v>43515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IFERROR(__xludf.DUMMYFUNCTION("""COMPUTED_VALUE"""),157.18)</f>
        <v>157.18</v>
      </c>
      <c r="C3019" s="1">
        <f>IFERROR(__xludf.DUMMYFUNCTION("""COMPUTED_VALUE"""),158.94)</f>
        <v>158.94</v>
      </c>
      <c r="D3019" s="1">
        <f>IFERROR(__xludf.DUMMYFUNCTION("""COMPUTED_VALUE"""),156.75)</f>
        <v>156.75</v>
      </c>
      <c r="E3019" s="1">
        <f>IFERROR(__xludf.DUMMYFUNCTION("""COMPUTED_VALUE"""),157.03)</f>
        <v>157.03</v>
      </c>
      <c r="F3019" s="1">
        <f>IFERROR(__xludf.DUMMYFUNCTION("""COMPUTED_VALUE"""),42482.0)</f>
        <v>42482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IFERROR(__xludf.DUMMYFUNCTION("""COMPUTED_VALUE"""),157.28)</f>
        <v>157.28</v>
      </c>
      <c r="C3020" s="1">
        <f>IFERROR(__xludf.DUMMYFUNCTION("""COMPUTED_VALUE"""),158.83)</f>
        <v>158.83</v>
      </c>
      <c r="D3020" s="1">
        <f>IFERROR(__xludf.DUMMYFUNCTION("""COMPUTED_VALUE"""),156.34)</f>
        <v>156.34</v>
      </c>
      <c r="E3020" s="1">
        <f>IFERROR(__xludf.DUMMYFUNCTION("""COMPUTED_VALUE"""),158.63)</f>
        <v>158.63</v>
      </c>
      <c r="F3020" s="1">
        <f>IFERROR(__xludf.DUMMYFUNCTION("""COMPUTED_VALUE"""),82383.0)</f>
        <v>82383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IFERROR(__xludf.DUMMYFUNCTION("""COMPUTED_VALUE"""),158.72)</f>
        <v>158.72</v>
      </c>
      <c r="C3021" s="1">
        <f>IFERROR(__xludf.DUMMYFUNCTION("""COMPUTED_VALUE"""),158.78)</f>
        <v>158.78</v>
      </c>
      <c r="D3021" s="1">
        <f>IFERROR(__xludf.DUMMYFUNCTION("""COMPUTED_VALUE"""),157.66)</f>
        <v>157.66</v>
      </c>
      <c r="E3021" s="1">
        <f>IFERROR(__xludf.DUMMYFUNCTION("""COMPUTED_VALUE"""),158.28)</f>
        <v>158.28</v>
      </c>
      <c r="F3021" s="1">
        <f>IFERROR(__xludf.DUMMYFUNCTION("""COMPUTED_VALUE"""),64604.0)</f>
        <v>64604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IFERROR(__xludf.DUMMYFUNCTION("""COMPUTED_VALUE"""),158.48)</f>
        <v>158.48</v>
      </c>
      <c r="C3022" s="1">
        <f>IFERROR(__xludf.DUMMYFUNCTION("""COMPUTED_VALUE"""),159.23)</f>
        <v>159.23</v>
      </c>
      <c r="D3022" s="1">
        <f>IFERROR(__xludf.DUMMYFUNCTION("""COMPUTED_VALUE"""),157.16)</f>
        <v>157.16</v>
      </c>
      <c r="E3022" s="1">
        <f>IFERROR(__xludf.DUMMYFUNCTION("""COMPUTED_VALUE"""),157.96)</f>
        <v>157.96</v>
      </c>
      <c r="F3022" s="1">
        <f>IFERROR(__xludf.DUMMYFUNCTION("""COMPUTED_VALUE"""),50842.0)</f>
        <v>50842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IFERROR(__xludf.DUMMYFUNCTION("""COMPUTED_VALUE"""),157.89)</f>
        <v>157.89</v>
      </c>
      <c r="C3023" s="1">
        <f>IFERROR(__xludf.DUMMYFUNCTION("""COMPUTED_VALUE"""),159.43)</f>
        <v>159.43</v>
      </c>
      <c r="D3023" s="1">
        <f>IFERROR(__xludf.DUMMYFUNCTION("""COMPUTED_VALUE"""),157.06)</f>
        <v>157.06</v>
      </c>
      <c r="E3023" s="1">
        <f>IFERROR(__xludf.DUMMYFUNCTION("""COMPUTED_VALUE"""),159.12)</f>
        <v>159.12</v>
      </c>
      <c r="F3023" s="1">
        <f>IFERROR(__xludf.DUMMYFUNCTION("""COMPUTED_VALUE"""),145857.0)</f>
        <v>145857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IFERROR(__xludf.DUMMYFUNCTION("""COMPUTED_VALUE"""),159.54)</f>
        <v>159.54</v>
      </c>
      <c r="C3024" s="1">
        <f>IFERROR(__xludf.DUMMYFUNCTION("""COMPUTED_VALUE"""),160.56)</f>
        <v>160.56</v>
      </c>
      <c r="D3024" s="1">
        <f>IFERROR(__xludf.DUMMYFUNCTION("""COMPUTED_VALUE"""),158.48)</f>
        <v>158.48</v>
      </c>
      <c r="E3024" s="1">
        <f>IFERROR(__xludf.DUMMYFUNCTION("""COMPUTED_VALUE"""),158.55)</f>
        <v>158.55</v>
      </c>
      <c r="F3024" s="1">
        <f>IFERROR(__xludf.DUMMYFUNCTION("""COMPUTED_VALUE"""),49927.0)</f>
        <v>49927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IFERROR(__xludf.DUMMYFUNCTION("""COMPUTED_VALUE"""),159.13)</f>
        <v>159.13</v>
      </c>
      <c r="C3025" s="1">
        <f>IFERROR(__xludf.DUMMYFUNCTION("""COMPUTED_VALUE"""),160.08)</f>
        <v>160.08</v>
      </c>
      <c r="D3025" s="1">
        <f>IFERROR(__xludf.DUMMYFUNCTION("""COMPUTED_VALUE"""),157.82)</f>
        <v>157.82</v>
      </c>
      <c r="E3025" s="1">
        <f>IFERROR(__xludf.DUMMYFUNCTION("""COMPUTED_VALUE"""),158.01)</f>
        <v>158.01</v>
      </c>
      <c r="F3025" s="1">
        <f>IFERROR(__xludf.DUMMYFUNCTION("""COMPUTED_VALUE"""),63304.0)</f>
        <v>63304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IFERROR(__xludf.DUMMYFUNCTION("""COMPUTED_VALUE"""),158.75)</f>
        <v>158.75</v>
      </c>
      <c r="C3026" s="1">
        <f>IFERROR(__xludf.DUMMYFUNCTION("""COMPUTED_VALUE"""),159.67)</f>
        <v>159.67</v>
      </c>
      <c r="D3026" s="1">
        <f>IFERROR(__xludf.DUMMYFUNCTION("""COMPUTED_VALUE"""),157.12)</f>
        <v>157.12</v>
      </c>
      <c r="E3026" s="1">
        <f>IFERROR(__xludf.DUMMYFUNCTION("""COMPUTED_VALUE"""),157.96)</f>
        <v>157.96</v>
      </c>
      <c r="F3026" s="1">
        <f>IFERROR(__xludf.DUMMYFUNCTION("""COMPUTED_VALUE"""),47930.0)</f>
        <v>47930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IFERROR(__xludf.DUMMYFUNCTION("""COMPUTED_VALUE"""),157.37)</f>
        <v>157.37</v>
      </c>
      <c r="C3027" s="1">
        <f>IFERROR(__xludf.DUMMYFUNCTION("""COMPUTED_VALUE"""),158.89)</f>
        <v>158.89</v>
      </c>
      <c r="D3027" s="1">
        <f>IFERROR(__xludf.DUMMYFUNCTION("""COMPUTED_VALUE"""),157.37)</f>
        <v>157.37</v>
      </c>
      <c r="E3027" s="1">
        <f>IFERROR(__xludf.DUMMYFUNCTION("""COMPUTED_VALUE"""),158.6)</f>
        <v>158.6</v>
      </c>
      <c r="F3027" s="1">
        <f>IFERROR(__xludf.DUMMYFUNCTION("""COMPUTED_VALUE"""),45848.0)</f>
        <v>45848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IFERROR(__xludf.DUMMYFUNCTION("""COMPUTED_VALUE"""),157.72)</f>
        <v>157.72</v>
      </c>
      <c r="C3028" s="1">
        <f>IFERROR(__xludf.DUMMYFUNCTION("""COMPUTED_VALUE"""),158.19)</f>
        <v>158.19</v>
      </c>
      <c r="D3028" s="1">
        <f>IFERROR(__xludf.DUMMYFUNCTION("""COMPUTED_VALUE"""),156.38)</f>
        <v>156.38</v>
      </c>
      <c r="E3028" s="1">
        <f>IFERROR(__xludf.DUMMYFUNCTION("""COMPUTED_VALUE"""),157.32)</f>
        <v>157.32</v>
      </c>
      <c r="F3028" s="1">
        <f>IFERROR(__xludf.DUMMYFUNCTION("""COMPUTED_VALUE"""),63167.0)</f>
        <v>63167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IFERROR(__xludf.DUMMYFUNCTION("""COMPUTED_VALUE"""),156.8)</f>
        <v>156.8</v>
      </c>
      <c r="C3029" s="1">
        <f>IFERROR(__xludf.DUMMYFUNCTION("""COMPUTED_VALUE"""),157.53)</f>
        <v>157.53</v>
      </c>
      <c r="D3029" s="1">
        <f>IFERROR(__xludf.DUMMYFUNCTION("""COMPUTED_VALUE"""),154.05)</f>
        <v>154.05</v>
      </c>
      <c r="E3029" s="1">
        <f>IFERROR(__xludf.DUMMYFUNCTION("""COMPUTED_VALUE"""),154.89)</f>
        <v>154.89</v>
      </c>
      <c r="F3029" s="1">
        <f>IFERROR(__xludf.DUMMYFUNCTION("""COMPUTED_VALUE"""),39541.0)</f>
        <v>39541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IFERROR(__xludf.DUMMYFUNCTION("""COMPUTED_VALUE"""),154.85)</f>
        <v>154.85</v>
      </c>
      <c r="C3030" s="1">
        <f>IFERROR(__xludf.DUMMYFUNCTION("""COMPUTED_VALUE"""),155.07)</f>
        <v>155.07</v>
      </c>
      <c r="D3030" s="1">
        <f>IFERROR(__xludf.DUMMYFUNCTION("""COMPUTED_VALUE"""),152.13)</f>
        <v>152.13</v>
      </c>
      <c r="E3030" s="1">
        <f>IFERROR(__xludf.DUMMYFUNCTION("""COMPUTED_VALUE"""),152.54)</f>
        <v>152.54</v>
      </c>
      <c r="F3030" s="1">
        <f>IFERROR(__xludf.DUMMYFUNCTION("""COMPUTED_VALUE"""),74410.0)</f>
        <v>74410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IFERROR(__xludf.DUMMYFUNCTION("""COMPUTED_VALUE"""),152.99)</f>
        <v>152.99</v>
      </c>
      <c r="C3031" s="1">
        <f>IFERROR(__xludf.DUMMYFUNCTION("""COMPUTED_VALUE"""),155.72)</f>
        <v>155.72</v>
      </c>
      <c r="D3031" s="1">
        <f>IFERROR(__xludf.DUMMYFUNCTION("""COMPUTED_VALUE"""),151.12)</f>
        <v>151.12</v>
      </c>
      <c r="E3031" s="1">
        <f>IFERROR(__xludf.DUMMYFUNCTION("""COMPUTED_VALUE"""),154.26)</f>
        <v>154.26</v>
      </c>
      <c r="F3031" s="1">
        <f>IFERROR(__xludf.DUMMYFUNCTION("""COMPUTED_VALUE"""),37054.0)</f>
        <v>37054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IFERROR(__xludf.DUMMYFUNCTION("""COMPUTED_VALUE"""),153.01)</f>
        <v>153.01</v>
      </c>
      <c r="C3032" s="1">
        <f>IFERROR(__xludf.DUMMYFUNCTION("""COMPUTED_VALUE"""),154.84)</f>
        <v>154.84</v>
      </c>
      <c r="D3032" s="1">
        <f>IFERROR(__xludf.DUMMYFUNCTION("""COMPUTED_VALUE"""),151.99)</f>
        <v>151.99</v>
      </c>
      <c r="E3032" s="1">
        <f>IFERROR(__xludf.DUMMYFUNCTION("""COMPUTED_VALUE"""),154.11)</f>
        <v>154.11</v>
      </c>
      <c r="F3032" s="1">
        <f>IFERROR(__xludf.DUMMYFUNCTION("""COMPUTED_VALUE"""),50456.0)</f>
        <v>50456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IFERROR(__xludf.DUMMYFUNCTION("""COMPUTED_VALUE"""),153.1)</f>
        <v>153.1</v>
      </c>
      <c r="C3033" s="1">
        <f>IFERROR(__xludf.DUMMYFUNCTION("""COMPUTED_VALUE"""),154.1)</f>
        <v>154.1</v>
      </c>
      <c r="D3033" s="1">
        <f>IFERROR(__xludf.DUMMYFUNCTION("""COMPUTED_VALUE"""),151.35)</f>
        <v>151.35</v>
      </c>
      <c r="E3033" s="1">
        <f>IFERROR(__xludf.DUMMYFUNCTION("""COMPUTED_VALUE"""),151.98)</f>
        <v>151.98</v>
      </c>
      <c r="F3033" s="1">
        <f>IFERROR(__xludf.DUMMYFUNCTION("""COMPUTED_VALUE"""),40985.0)</f>
        <v>40985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IFERROR(__xludf.DUMMYFUNCTION("""COMPUTED_VALUE"""),152.1)</f>
        <v>152.1</v>
      </c>
      <c r="C3034" s="1">
        <f>IFERROR(__xludf.DUMMYFUNCTION("""COMPUTED_VALUE"""),152.91)</f>
        <v>152.91</v>
      </c>
      <c r="D3034" s="1">
        <f>IFERROR(__xludf.DUMMYFUNCTION("""COMPUTED_VALUE"""),150.37)</f>
        <v>150.37</v>
      </c>
      <c r="E3034" s="1">
        <f>IFERROR(__xludf.DUMMYFUNCTION("""COMPUTED_VALUE"""),151.78)</f>
        <v>151.78</v>
      </c>
      <c r="F3034" s="1">
        <f>IFERROR(__xludf.DUMMYFUNCTION("""COMPUTED_VALUE"""),53396.0)</f>
        <v>53396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IFERROR(__xludf.DUMMYFUNCTION("""COMPUTED_VALUE"""),151.7)</f>
        <v>151.7</v>
      </c>
      <c r="C3035" s="1">
        <f>IFERROR(__xludf.DUMMYFUNCTION("""COMPUTED_VALUE"""),153.88)</f>
        <v>153.88</v>
      </c>
      <c r="D3035" s="1">
        <f>IFERROR(__xludf.DUMMYFUNCTION("""COMPUTED_VALUE"""),150.96)</f>
        <v>150.96</v>
      </c>
      <c r="E3035" s="1">
        <f>IFERROR(__xludf.DUMMYFUNCTION("""COMPUTED_VALUE"""),150.97)</f>
        <v>150.97</v>
      </c>
      <c r="F3035" s="1">
        <f>IFERROR(__xludf.DUMMYFUNCTION("""COMPUTED_VALUE"""),36515.0)</f>
        <v>36515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IFERROR(__xludf.DUMMYFUNCTION("""COMPUTED_VALUE"""),150.66)</f>
        <v>150.66</v>
      </c>
      <c r="C3036" s="1">
        <f>IFERROR(__xludf.DUMMYFUNCTION("""COMPUTED_VALUE"""),153.81)</f>
        <v>153.81</v>
      </c>
      <c r="D3036" s="1">
        <f>IFERROR(__xludf.DUMMYFUNCTION("""COMPUTED_VALUE"""),150.04)</f>
        <v>150.04</v>
      </c>
      <c r="E3036" s="1">
        <f>IFERROR(__xludf.DUMMYFUNCTION("""COMPUTED_VALUE"""),150.09)</f>
        <v>150.09</v>
      </c>
      <c r="F3036" s="1">
        <f>IFERROR(__xludf.DUMMYFUNCTION("""COMPUTED_VALUE"""),63891.0)</f>
        <v>63891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IFERROR(__xludf.DUMMYFUNCTION("""COMPUTED_VALUE"""),148.86)</f>
        <v>148.86</v>
      </c>
      <c r="C3037" s="1">
        <f>IFERROR(__xludf.DUMMYFUNCTION("""COMPUTED_VALUE"""),153.07)</f>
        <v>153.07</v>
      </c>
      <c r="D3037" s="1">
        <f>IFERROR(__xludf.DUMMYFUNCTION("""COMPUTED_VALUE"""),148.6)</f>
        <v>148.6</v>
      </c>
      <c r="E3037" s="1">
        <f>IFERROR(__xludf.DUMMYFUNCTION("""COMPUTED_VALUE"""),152.67)</f>
        <v>152.67</v>
      </c>
      <c r="F3037" s="1">
        <f>IFERROR(__xludf.DUMMYFUNCTION("""COMPUTED_VALUE"""),89067.0)</f>
        <v>89067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IFERROR(__xludf.DUMMYFUNCTION("""COMPUTED_VALUE"""),153.4)</f>
        <v>153.4</v>
      </c>
      <c r="C3038" s="1">
        <f>IFERROR(__xludf.DUMMYFUNCTION("""COMPUTED_VALUE"""),154.08)</f>
        <v>154.08</v>
      </c>
      <c r="D3038" s="1">
        <f>IFERROR(__xludf.DUMMYFUNCTION("""COMPUTED_VALUE"""),147.87)</f>
        <v>147.87</v>
      </c>
      <c r="E3038" s="1">
        <f>IFERROR(__xludf.DUMMYFUNCTION("""COMPUTED_VALUE"""),151.24)</f>
        <v>151.24</v>
      </c>
      <c r="F3038" s="1">
        <f>IFERROR(__xludf.DUMMYFUNCTION("""COMPUTED_VALUE"""),138211.0)</f>
        <v>138211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IFERROR(__xludf.DUMMYFUNCTION("""COMPUTED_VALUE"""),151.58)</f>
        <v>151.58</v>
      </c>
      <c r="C3039" s="1">
        <f>IFERROR(__xludf.DUMMYFUNCTION("""COMPUTED_VALUE"""),154.01)</f>
        <v>154.01</v>
      </c>
      <c r="D3039" s="1">
        <f>IFERROR(__xludf.DUMMYFUNCTION("""COMPUTED_VALUE"""),150.14)</f>
        <v>150.14</v>
      </c>
      <c r="E3039" s="1">
        <f>IFERROR(__xludf.DUMMYFUNCTION("""COMPUTED_VALUE"""),151.49)</f>
        <v>151.49</v>
      </c>
      <c r="F3039" s="1">
        <f>IFERROR(__xludf.DUMMYFUNCTION("""COMPUTED_VALUE"""),133643.0)</f>
        <v>133643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IFERROR(__xludf.DUMMYFUNCTION("""COMPUTED_VALUE"""),151.57)</f>
        <v>151.57</v>
      </c>
      <c r="C3040" s="1">
        <f>IFERROR(__xludf.DUMMYFUNCTION("""COMPUTED_VALUE"""),154.08)</f>
        <v>154.08</v>
      </c>
      <c r="D3040" s="1">
        <f>IFERROR(__xludf.DUMMYFUNCTION("""COMPUTED_VALUE"""),150.85)</f>
        <v>150.85</v>
      </c>
      <c r="E3040" s="1">
        <f>IFERROR(__xludf.DUMMYFUNCTION("""COMPUTED_VALUE"""),152.11)</f>
        <v>152.11</v>
      </c>
      <c r="F3040" s="1">
        <f>IFERROR(__xludf.DUMMYFUNCTION("""COMPUTED_VALUE"""),134465.0)</f>
        <v>134465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IFERROR(__xludf.DUMMYFUNCTION("""COMPUTED_VALUE"""),151.59)</f>
        <v>151.59</v>
      </c>
      <c r="C3041" s="1">
        <f>IFERROR(__xludf.DUMMYFUNCTION("""COMPUTED_VALUE"""),152.45)</f>
        <v>152.45</v>
      </c>
      <c r="D3041" s="1">
        <f>IFERROR(__xludf.DUMMYFUNCTION("""COMPUTED_VALUE"""),148.3)</f>
        <v>148.3</v>
      </c>
      <c r="E3041" s="1">
        <f>IFERROR(__xludf.DUMMYFUNCTION("""COMPUTED_VALUE"""),150.56)</f>
        <v>150.56</v>
      </c>
      <c r="F3041" s="1">
        <f>IFERROR(__xludf.DUMMYFUNCTION("""COMPUTED_VALUE"""),75363.0)</f>
        <v>75363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IFERROR(__xludf.DUMMYFUNCTION("""COMPUTED_VALUE"""),149.58)</f>
        <v>149.58</v>
      </c>
      <c r="C3042" s="1">
        <f>IFERROR(__xludf.DUMMYFUNCTION("""COMPUTED_VALUE"""),151.69)</f>
        <v>151.69</v>
      </c>
      <c r="D3042" s="1">
        <f>IFERROR(__xludf.DUMMYFUNCTION("""COMPUTED_VALUE"""),148.0)</f>
        <v>148</v>
      </c>
      <c r="E3042" s="1">
        <f>IFERROR(__xludf.DUMMYFUNCTION("""COMPUTED_VALUE"""),151.69)</f>
        <v>151.69</v>
      </c>
      <c r="F3042" s="1">
        <f>IFERROR(__xludf.DUMMYFUNCTION("""COMPUTED_VALUE"""),120646.0)</f>
        <v>120646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IFERROR(__xludf.DUMMYFUNCTION("""COMPUTED_VALUE"""),145.62)</f>
        <v>145.62</v>
      </c>
      <c r="C3043" s="1">
        <f>IFERROR(__xludf.DUMMYFUNCTION("""COMPUTED_VALUE"""),151.67)</f>
        <v>151.67</v>
      </c>
      <c r="D3043" s="1">
        <f>IFERROR(__xludf.DUMMYFUNCTION("""COMPUTED_VALUE"""),140.39)</f>
        <v>140.39</v>
      </c>
      <c r="E3043" s="1">
        <f>IFERROR(__xludf.DUMMYFUNCTION("""COMPUTED_VALUE"""),149.1)</f>
        <v>149.1</v>
      </c>
      <c r="F3043" s="1">
        <f>IFERROR(__xludf.DUMMYFUNCTION("""COMPUTED_VALUE"""),156447.0)</f>
        <v>156447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IFERROR(__xludf.DUMMYFUNCTION("""COMPUTED_VALUE"""),149.1)</f>
        <v>149.1</v>
      </c>
      <c r="C3044" s="1">
        <f>IFERROR(__xludf.DUMMYFUNCTION("""COMPUTED_VALUE"""),150.68)</f>
        <v>150.68</v>
      </c>
      <c r="D3044" s="1">
        <f>IFERROR(__xludf.DUMMYFUNCTION("""COMPUTED_VALUE"""),148.21)</f>
        <v>148.21</v>
      </c>
      <c r="E3044" s="1">
        <f>IFERROR(__xludf.DUMMYFUNCTION("""COMPUTED_VALUE"""),149.77)</f>
        <v>149.77</v>
      </c>
      <c r="F3044" s="1">
        <f>IFERROR(__xludf.DUMMYFUNCTION("""COMPUTED_VALUE"""),97892.0)</f>
        <v>97892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IFERROR(__xludf.DUMMYFUNCTION("""COMPUTED_VALUE"""),149.65)</f>
        <v>149.65</v>
      </c>
      <c r="C3045" s="1">
        <f>IFERROR(__xludf.DUMMYFUNCTION("""COMPUTED_VALUE"""),151.55)</f>
        <v>151.55</v>
      </c>
      <c r="D3045" s="1">
        <f>IFERROR(__xludf.DUMMYFUNCTION("""COMPUTED_VALUE"""),143.82)</f>
        <v>143.82</v>
      </c>
      <c r="E3045" s="1">
        <f>IFERROR(__xludf.DUMMYFUNCTION("""COMPUTED_VALUE"""),149.66)</f>
        <v>149.66</v>
      </c>
      <c r="F3045" s="1">
        <f>IFERROR(__xludf.DUMMYFUNCTION("""COMPUTED_VALUE"""),125140.0)</f>
        <v>125140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IFERROR(__xludf.DUMMYFUNCTION("""COMPUTED_VALUE"""),148.65)</f>
        <v>148.65</v>
      </c>
      <c r="C3046" s="1">
        <f>IFERROR(__xludf.DUMMYFUNCTION("""COMPUTED_VALUE"""),150.64)</f>
        <v>150.64</v>
      </c>
      <c r="D3046" s="1">
        <f>IFERROR(__xludf.DUMMYFUNCTION("""COMPUTED_VALUE"""),146.81)</f>
        <v>146.81</v>
      </c>
      <c r="E3046" s="1">
        <f>IFERROR(__xludf.DUMMYFUNCTION("""COMPUTED_VALUE"""),150.08)</f>
        <v>150.08</v>
      </c>
      <c r="F3046" s="1">
        <f>IFERROR(__xludf.DUMMYFUNCTION("""COMPUTED_VALUE"""),122349.0)</f>
        <v>122349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IFERROR(__xludf.DUMMYFUNCTION("""COMPUTED_VALUE"""),149.55)</f>
        <v>149.55</v>
      </c>
      <c r="C3047" s="1">
        <f>IFERROR(__xludf.DUMMYFUNCTION("""COMPUTED_VALUE"""),151.19)</f>
        <v>151.19</v>
      </c>
      <c r="D3047" s="1">
        <f>IFERROR(__xludf.DUMMYFUNCTION("""COMPUTED_VALUE"""),149.11)</f>
        <v>149.11</v>
      </c>
      <c r="E3047" s="1">
        <f>IFERROR(__xludf.DUMMYFUNCTION("""COMPUTED_VALUE"""),150.14)</f>
        <v>150.14</v>
      </c>
      <c r="F3047" s="1">
        <f>IFERROR(__xludf.DUMMYFUNCTION("""COMPUTED_VALUE"""),81774.0)</f>
        <v>81774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IFERROR(__xludf.DUMMYFUNCTION("""COMPUTED_VALUE"""),150.75)</f>
        <v>150.75</v>
      </c>
      <c r="C3048" s="1">
        <f>IFERROR(__xludf.DUMMYFUNCTION("""COMPUTED_VALUE"""),155.15)</f>
        <v>155.15</v>
      </c>
      <c r="D3048" s="1">
        <f>IFERROR(__xludf.DUMMYFUNCTION("""COMPUTED_VALUE"""),148.52)</f>
        <v>148.52</v>
      </c>
      <c r="E3048" s="1">
        <f>IFERROR(__xludf.DUMMYFUNCTION("""COMPUTED_VALUE"""),154.21)</f>
        <v>154.21</v>
      </c>
      <c r="F3048" s="1">
        <f>IFERROR(__xludf.DUMMYFUNCTION("""COMPUTED_VALUE"""),106643.0)</f>
        <v>106643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IFERROR(__xludf.DUMMYFUNCTION("""COMPUTED_VALUE"""),155.02)</f>
        <v>155.02</v>
      </c>
      <c r="C3049" s="1">
        <f>IFERROR(__xludf.DUMMYFUNCTION("""COMPUTED_VALUE"""),155.65)</f>
        <v>155.65</v>
      </c>
      <c r="D3049" s="1">
        <f>IFERROR(__xludf.DUMMYFUNCTION("""COMPUTED_VALUE"""),152.57)</f>
        <v>152.57</v>
      </c>
      <c r="E3049" s="1">
        <f>IFERROR(__xludf.DUMMYFUNCTION("""COMPUTED_VALUE"""),153.01)</f>
        <v>153.01</v>
      </c>
      <c r="F3049" s="1">
        <f>IFERROR(__xludf.DUMMYFUNCTION("""COMPUTED_VALUE"""),96375.0)</f>
        <v>96375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IFERROR(__xludf.DUMMYFUNCTION("""COMPUTED_VALUE"""),151.71)</f>
        <v>151.71</v>
      </c>
      <c r="C3050" s="1">
        <f>IFERROR(__xludf.DUMMYFUNCTION("""COMPUTED_VALUE"""),153.45)</f>
        <v>153.45</v>
      </c>
      <c r="D3050" s="1">
        <f>IFERROR(__xludf.DUMMYFUNCTION("""COMPUTED_VALUE"""),149.49)</f>
        <v>149.49</v>
      </c>
      <c r="E3050" s="1">
        <f>IFERROR(__xludf.DUMMYFUNCTION("""COMPUTED_VALUE"""),150.33)</f>
        <v>150.33</v>
      </c>
      <c r="F3050" s="1">
        <f>IFERROR(__xludf.DUMMYFUNCTION("""COMPUTED_VALUE"""),77012.0)</f>
        <v>77012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IFERROR(__xludf.DUMMYFUNCTION("""COMPUTED_VALUE"""),150.45)</f>
        <v>150.45</v>
      </c>
      <c r="C3051" s="1">
        <f>IFERROR(__xludf.DUMMYFUNCTION("""COMPUTED_VALUE"""),153.55)</f>
        <v>153.55</v>
      </c>
      <c r="D3051" s="1">
        <f>IFERROR(__xludf.DUMMYFUNCTION("""COMPUTED_VALUE"""),150.32)</f>
        <v>150.32</v>
      </c>
      <c r="E3051" s="1">
        <f>IFERROR(__xludf.DUMMYFUNCTION("""COMPUTED_VALUE"""),152.57)</f>
        <v>152.57</v>
      </c>
      <c r="F3051" s="1">
        <f>IFERROR(__xludf.DUMMYFUNCTION("""COMPUTED_VALUE"""),67675.0)</f>
        <v>67675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IFERROR(__xludf.DUMMYFUNCTION("""COMPUTED_VALUE"""),152.36)</f>
        <v>152.36</v>
      </c>
      <c r="C3052" s="1">
        <f>IFERROR(__xludf.DUMMYFUNCTION("""COMPUTED_VALUE"""),154.97)</f>
        <v>154.97</v>
      </c>
      <c r="D3052" s="1">
        <f>IFERROR(__xludf.DUMMYFUNCTION("""COMPUTED_VALUE"""),151.12)</f>
        <v>151.12</v>
      </c>
      <c r="E3052" s="1">
        <f>IFERROR(__xludf.DUMMYFUNCTION("""COMPUTED_VALUE"""),154.38)</f>
        <v>154.38</v>
      </c>
      <c r="F3052" s="1">
        <f>IFERROR(__xludf.DUMMYFUNCTION("""COMPUTED_VALUE"""),100276.0)</f>
        <v>100276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IFERROR(__xludf.DUMMYFUNCTION("""COMPUTED_VALUE"""),154.99)</f>
        <v>154.99</v>
      </c>
      <c r="C3053" s="1">
        <f>IFERROR(__xludf.DUMMYFUNCTION("""COMPUTED_VALUE"""),157.11)</f>
        <v>157.11</v>
      </c>
      <c r="D3053" s="1">
        <f>IFERROR(__xludf.DUMMYFUNCTION("""COMPUTED_VALUE"""),154.99)</f>
        <v>154.99</v>
      </c>
      <c r="E3053" s="1">
        <f>IFERROR(__xludf.DUMMYFUNCTION("""COMPUTED_VALUE"""),155.91)</f>
        <v>155.91</v>
      </c>
      <c r="F3053" s="1">
        <f>IFERROR(__xludf.DUMMYFUNCTION("""COMPUTED_VALUE"""),74896.0)</f>
        <v>74896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IFERROR(__xludf.DUMMYFUNCTION("""COMPUTED_VALUE"""),156.28)</f>
        <v>156.28</v>
      </c>
      <c r="C3054" s="1">
        <f>IFERROR(__xludf.DUMMYFUNCTION("""COMPUTED_VALUE"""),156.28)</f>
        <v>156.28</v>
      </c>
      <c r="D3054" s="1">
        <f>IFERROR(__xludf.DUMMYFUNCTION("""COMPUTED_VALUE"""),154.52)</f>
        <v>154.52</v>
      </c>
      <c r="E3054" s="1">
        <f>IFERROR(__xludf.DUMMYFUNCTION("""COMPUTED_VALUE"""),155.26)</f>
        <v>155.26</v>
      </c>
      <c r="F3054" s="1">
        <f>IFERROR(__xludf.DUMMYFUNCTION("""COMPUTED_VALUE"""),51247.0)</f>
        <v>51247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IFERROR(__xludf.DUMMYFUNCTION("""COMPUTED_VALUE"""),154.38)</f>
        <v>154.38</v>
      </c>
      <c r="C3055" s="1">
        <f>IFERROR(__xludf.DUMMYFUNCTION("""COMPUTED_VALUE"""),157.24)</f>
        <v>157.24</v>
      </c>
      <c r="D3055" s="1">
        <f>IFERROR(__xludf.DUMMYFUNCTION("""COMPUTED_VALUE"""),153.98)</f>
        <v>153.98</v>
      </c>
      <c r="E3055" s="1">
        <f>IFERROR(__xludf.DUMMYFUNCTION("""COMPUTED_VALUE"""),157.0)</f>
        <v>157</v>
      </c>
      <c r="F3055" s="1">
        <f>IFERROR(__xludf.DUMMYFUNCTION("""COMPUTED_VALUE"""),71921.0)</f>
        <v>71921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IFERROR(__xludf.DUMMYFUNCTION("""COMPUTED_VALUE"""),156.57)</f>
        <v>156.57</v>
      </c>
      <c r="C3056" s="1">
        <f>IFERROR(__xludf.DUMMYFUNCTION("""COMPUTED_VALUE"""),160.12)</f>
        <v>160.12</v>
      </c>
      <c r="D3056" s="1">
        <f>IFERROR(__xludf.DUMMYFUNCTION("""COMPUTED_VALUE"""),156.3)</f>
        <v>156.3</v>
      </c>
      <c r="E3056" s="1">
        <f>IFERROR(__xludf.DUMMYFUNCTION("""COMPUTED_VALUE"""),158.34)</f>
        <v>158.34</v>
      </c>
      <c r="F3056" s="1">
        <f>IFERROR(__xludf.DUMMYFUNCTION("""COMPUTED_VALUE"""),119640.0)</f>
        <v>119640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IFERROR(__xludf.DUMMYFUNCTION("""COMPUTED_VALUE"""),158.04)</f>
        <v>158.04</v>
      </c>
      <c r="C3057" s="1">
        <f>IFERROR(__xludf.DUMMYFUNCTION("""COMPUTED_VALUE"""),160.73)</f>
        <v>160.73</v>
      </c>
      <c r="D3057" s="1">
        <f>IFERROR(__xludf.DUMMYFUNCTION("""COMPUTED_VALUE"""),156.01)</f>
        <v>156.01</v>
      </c>
      <c r="E3057" s="1">
        <f>IFERROR(__xludf.DUMMYFUNCTION("""COMPUTED_VALUE"""),159.79)</f>
        <v>159.79</v>
      </c>
      <c r="F3057" s="1">
        <f>IFERROR(__xludf.DUMMYFUNCTION("""COMPUTED_VALUE"""),71332.0)</f>
        <v>71332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IFERROR(__xludf.DUMMYFUNCTION("""COMPUTED_VALUE"""),160.8)</f>
        <v>160.8</v>
      </c>
      <c r="C3058" s="1">
        <f>IFERROR(__xludf.DUMMYFUNCTION("""COMPUTED_VALUE"""),161.0)</f>
        <v>161</v>
      </c>
      <c r="D3058" s="1">
        <f>IFERROR(__xludf.DUMMYFUNCTION("""COMPUTED_VALUE"""),159.24)</f>
        <v>159.24</v>
      </c>
      <c r="E3058" s="1">
        <f>IFERROR(__xludf.DUMMYFUNCTION("""COMPUTED_VALUE"""),160.08)</f>
        <v>160.08</v>
      </c>
      <c r="F3058" s="1">
        <f>IFERROR(__xludf.DUMMYFUNCTION("""COMPUTED_VALUE"""),79515.0)</f>
        <v>79515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IFERROR(__xludf.DUMMYFUNCTION("""COMPUTED_VALUE"""),159.01)</f>
        <v>159.01</v>
      </c>
      <c r="C3059" s="1">
        <f>IFERROR(__xludf.DUMMYFUNCTION("""COMPUTED_VALUE"""),159.01)</f>
        <v>159.01</v>
      </c>
      <c r="D3059" s="1">
        <f>IFERROR(__xludf.DUMMYFUNCTION("""COMPUTED_VALUE"""),154.82)</f>
        <v>154.82</v>
      </c>
      <c r="E3059" s="1">
        <f>IFERROR(__xludf.DUMMYFUNCTION("""COMPUTED_VALUE"""),157.36)</f>
        <v>157.36</v>
      </c>
      <c r="F3059" s="1">
        <f>IFERROR(__xludf.DUMMYFUNCTION("""COMPUTED_VALUE"""),110370.0)</f>
        <v>110370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IFERROR(__xludf.DUMMYFUNCTION("""COMPUTED_VALUE"""),158.11)</f>
        <v>158.11</v>
      </c>
      <c r="C3060" s="1">
        <f>IFERROR(__xludf.DUMMYFUNCTION("""COMPUTED_VALUE"""),164.27)</f>
        <v>164.27</v>
      </c>
      <c r="D3060" s="1">
        <f>IFERROR(__xludf.DUMMYFUNCTION("""COMPUTED_VALUE"""),158.11)</f>
        <v>158.11</v>
      </c>
      <c r="E3060" s="1">
        <f>IFERROR(__xludf.DUMMYFUNCTION("""COMPUTED_VALUE"""),164.08)</f>
        <v>164.08</v>
      </c>
      <c r="F3060" s="1">
        <f>IFERROR(__xludf.DUMMYFUNCTION("""COMPUTED_VALUE"""),72454.0)</f>
        <v>72454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IFERROR(__xludf.DUMMYFUNCTION("""COMPUTED_VALUE"""),162.82)</f>
        <v>162.82</v>
      </c>
      <c r="C3061" s="1">
        <f>IFERROR(__xludf.DUMMYFUNCTION("""COMPUTED_VALUE"""),165.08)</f>
        <v>165.08</v>
      </c>
      <c r="D3061" s="1">
        <f>IFERROR(__xludf.DUMMYFUNCTION("""COMPUTED_VALUE"""),162.07)</f>
        <v>162.07</v>
      </c>
      <c r="E3061" s="1">
        <f>IFERROR(__xludf.DUMMYFUNCTION("""COMPUTED_VALUE"""),163.72)</f>
        <v>163.72</v>
      </c>
      <c r="F3061" s="1">
        <f>IFERROR(__xludf.DUMMYFUNCTION("""COMPUTED_VALUE"""),78947.0)</f>
        <v>78947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IFERROR(__xludf.DUMMYFUNCTION("""COMPUTED_VALUE"""),164.47)</f>
        <v>164.47</v>
      </c>
      <c r="C3062" s="1">
        <f>IFERROR(__xludf.DUMMYFUNCTION("""COMPUTED_VALUE"""),164.47)</f>
        <v>164.47</v>
      </c>
      <c r="D3062" s="1">
        <f>IFERROR(__xludf.DUMMYFUNCTION("""COMPUTED_VALUE"""),161.75)</f>
        <v>161.75</v>
      </c>
      <c r="E3062" s="1">
        <f>IFERROR(__xludf.DUMMYFUNCTION("""COMPUTED_VALUE"""),163.08)</f>
        <v>163.08</v>
      </c>
      <c r="F3062" s="1">
        <f>IFERROR(__xludf.DUMMYFUNCTION("""COMPUTED_VALUE"""),84807.0)</f>
        <v>84807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IFERROR(__xludf.DUMMYFUNCTION("""COMPUTED_VALUE"""),161.81)</f>
        <v>161.81</v>
      </c>
      <c r="C3063" s="1">
        <f>IFERROR(__xludf.DUMMYFUNCTION("""COMPUTED_VALUE"""),165.66)</f>
        <v>165.66</v>
      </c>
      <c r="D3063" s="1">
        <f>IFERROR(__xludf.DUMMYFUNCTION("""COMPUTED_VALUE"""),161.81)</f>
        <v>161.81</v>
      </c>
      <c r="E3063" s="1">
        <f>IFERROR(__xludf.DUMMYFUNCTION("""COMPUTED_VALUE"""),163.82)</f>
        <v>163.82</v>
      </c>
      <c r="F3063" s="1">
        <f>IFERROR(__xludf.DUMMYFUNCTION("""COMPUTED_VALUE"""),68615.0)</f>
        <v>68615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IFERROR(__xludf.DUMMYFUNCTION("""COMPUTED_VALUE"""),164.54)</f>
        <v>164.54</v>
      </c>
      <c r="C3064" s="1">
        <f>IFERROR(__xludf.DUMMYFUNCTION("""COMPUTED_VALUE"""),165.78)</f>
        <v>165.78</v>
      </c>
      <c r="D3064" s="1">
        <f>IFERROR(__xludf.DUMMYFUNCTION("""COMPUTED_VALUE"""),163.01)</f>
        <v>163.01</v>
      </c>
      <c r="E3064" s="1">
        <f>IFERROR(__xludf.DUMMYFUNCTION("""COMPUTED_VALUE"""),163.58)</f>
        <v>163.58</v>
      </c>
      <c r="F3064" s="1">
        <f>IFERROR(__xludf.DUMMYFUNCTION("""COMPUTED_VALUE"""),58981.0)</f>
        <v>58981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IFERROR(__xludf.DUMMYFUNCTION("""COMPUTED_VALUE"""),162.74)</f>
        <v>162.74</v>
      </c>
      <c r="C3065" s="1">
        <f>IFERROR(__xludf.DUMMYFUNCTION("""COMPUTED_VALUE"""),164.23)</f>
        <v>164.23</v>
      </c>
      <c r="D3065" s="1">
        <f>IFERROR(__xludf.DUMMYFUNCTION("""COMPUTED_VALUE"""),161.47)</f>
        <v>161.47</v>
      </c>
      <c r="E3065" s="1">
        <f>IFERROR(__xludf.DUMMYFUNCTION("""COMPUTED_VALUE"""),163.74)</f>
        <v>163.74</v>
      </c>
      <c r="F3065" s="1">
        <f>IFERROR(__xludf.DUMMYFUNCTION("""COMPUTED_VALUE"""),65289.0)</f>
        <v>65289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IFERROR(__xludf.DUMMYFUNCTION("""COMPUTED_VALUE"""),163.74)</f>
        <v>163.74</v>
      </c>
      <c r="C3066" s="1">
        <f>IFERROR(__xludf.DUMMYFUNCTION("""COMPUTED_VALUE"""),164.3)</f>
        <v>164.3</v>
      </c>
      <c r="D3066" s="1">
        <f>IFERROR(__xludf.DUMMYFUNCTION("""COMPUTED_VALUE"""),162.24)</f>
        <v>162.24</v>
      </c>
      <c r="E3066" s="1">
        <f>IFERROR(__xludf.DUMMYFUNCTION("""COMPUTED_VALUE"""),162.53)</f>
        <v>162.53</v>
      </c>
      <c r="F3066" s="1">
        <f>IFERROR(__xludf.DUMMYFUNCTION("""COMPUTED_VALUE"""),55967.0)</f>
        <v>55967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IFERROR(__xludf.DUMMYFUNCTION("""COMPUTED_VALUE"""),162.72)</f>
        <v>162.72</v>
      </c>
      <c r="C3067" s="1">
        <f>IFERROR(__xludf.DUMMYFUNCTION("""COMPUTED_VALUE"""),162.72)</f>
        <v>162.72</v>
      </c>
      <c r="D3067" s="1">
        <f>IFERROR(__xludf.DUMMYFUNCTION("""COMPUTED_VALUE"""),156.08)</f>
        <v>156.08</v>
      </c>
      <c r="E3067" s="1">
        <f>IFERROR(__xludf.DUMMYFUNCTION("""COMPUTED_VALUE"""),156.27)</f>
        <v>156.27</v>
      </c>
      <c r="F3067" s="1">
        <f>IFERROR(__xludf.DUMMYFUNCTION("""COMPUTED_VALUE"""),50355.0)</f>
        <v>50355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IFERROR(__xludf.DUMMYFUNCTION("""COMPUTED_VALUE"""),157.31)</f>
        <v>157.31</v>
      </c>
      <c r="C3068" s="1">
        <f>IFERROR(__xludf.DUMMYFUNCTION("""COMPUTED_VALUE"""),158.36)</f>
        <v>158.36</v>
      </c>
      <c r="D3068" s="1">
        <f>IFERROR(__xludf.DUMMYFUNCTION("""COMPUTED_VALUE"""),154.53)</f>
        <v>154.53</v>
      </c>
      <c r="E3068" s="1">
        <f>IFERROR(__xludf.DUMMYFUNCTION("""COMPUTED_VALUE"""),155.02)</f>
        <v>155.02</v>
      </c>
      <c r="F3068" s="1">
        <f>IFERROR(__xludf.DUMMYFUNCTION("""COMPUTED_VALUE"""),63286.0)</f>
        <v>63286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IFERROR(__xludf.DUMMYFUNCTION("""COMPUTED_VALUE"""),153.54)</f>
        <v>153.54</v>
      </c>
      <c r="C3069" s="1">
        <f>IFERROR(__xludf.DUMMYFUNCTION("""COMPUTED_VALUE"""),156.55)</f>
        <v>156.55</v>
      </c>
      <c r="D3069" s="1">
        <f>IFERROR(__xludf.DUMMYFUNCTION("""COMPUTED_VALUE"""),150.84)</f>
        <v>150.84</v>
      </c>
      <c r="E3069" s="1">
        <f>IFERROR(__xludf.DUMMYFUNCTION("""COMPUTED_VALUE"""),151.56)</f>
        <v>151.56</v>
      </c>
      <c r="F3069" s="1">
        <f>IFERROR(__xludf.DUMMYFUNCTION("""COMPUTED_VALUE"""),81482.0)</f>
        <v>81482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IFERROR(__xludf.DUMMYFUNCTION("""COMPUTED_VALUE"""),152.23)</f>
        <v>152.23</v>
      </c>
      <c r="C3070" s="1">
        <f>IFERROR(__xludf.DUMMYFUNCTION("""COMPUTED_VALUE"""),154.72)</f>
        <v>154.72</v>
      </c>
      <c r="D3070" s="1">
        <f>IFERROR(__xludf.DUMMYFUNCTION("""COMPUTED_VALUE"""),152.04)</f>
        <v>152.04</v>
      </c>
      <c r="E3070" s="1">
        <f>IFERROR(__xludf.DUMMYFUNCTION("""COMPUTED_VALUE"""),153.17)</f>
        <v>153.17</v>
      </c>
      <c r="F3070" s="1">
        <f>IFERROR(__xludf.DUMMYFUNCTION("""COMPUTED_VALUE"""),79842.0)</f>
        <v>79842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IFERROR(__xludf.DUMMYFUNCTION("""COMPUTED_VALUE"""),153.87)</f>
        <v>153.87</v>
      </c>
      <c r="C3071" s="1">
        <f>IFERROR(__xludf.DUMMYFUNCTION("""COMPUTED_VALUE"""),156.74)</f>
        <v>156.74</v>
      </c>
      <c r="D3071" s="1">
        <f>IFERROR(__xludf.DUMMYFUNCTION("""COMPUTED_VALUE"""),153.78)</f>
        <v>153.78</v>
      </c>
      <c r="E3071" s="1">
        <f>IFERROR(__xludf.DUMMYFUNCTION("""COMPUTED_VALUE"""),155.2)</f>
        <v>155.2</v>
      </c>
      <c r="F3071" s="1">
        <f>IFERROR(__xludf.DUMMYFUNCTION("""COMPUTED_VALUE"""),63654.0)</f>
        <v>63654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IFERROR(__xludf.DUMMYFUNCTION("""COMPUTED_VALUE"""),155.33)</f>
        <v>155.33</v>
      </c>
      <c r="C3072" s="1">
        <f>IFERROR(__xludf.DUMMYFUNCTION("""COMPUTED_VALUE"""),157.14)</f>
        <v>157.14</v>
      </c>
      <c r="D3072" s="1">
        <f>IFERROR(__xludf.DUMMYFUNCTION("""COMPUTED_VALUE"""),155.03)</f>
        <v>155.03</v>
      </c>
      <c r="E3072" s="1">
        <f>IFERROR(__xludf.DUMMYFUNCTION("""COMPUTED_VALUE"""),156.68)</f>
        <v>156.68</v>
      </c>
      <c r="F3072" s="1">
        <f>IFERROR(__xludf.DUMMYFUNCTION("""COMPUTED_VALUE"""),56087.0)</f>
        <v>56087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IFERROR(__xludf.DUMMYFUNCTION("""COMPUTED_VALUE"""),157.04)</f>
        <v>157.04</v>
      </c>
      <c r="C3073" s="1">
        <f>IFERROR(__xludf.DUMMYFUNCTION("""COMPUTED_VALUE"""),159.23)</f>
        <v>159.23</v>
      </c>
      <c r="D3073" s="1">
        <f>IFERROR(__xludf.DUMMYFUNCTION("""COMPUTED_VALUE"""),156.27)</f>
        <v>156.27</v>
      </c>
      <c r="E3073" s="1">
        <f>IFERROR(__xludf.DUMMYFUNCTION("""COMPUTED_VALUE"""),158.77)</f>
        <v>158.77</v>
      </c>
      <c r="F3073" s="1">
        <f>IFERROR(__xludf.DUMMYFUNCTION("""COMPUTED_VALUE"""),102892.0)</f>
        <v>102892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IFERROR(__xludf.DUMMYFUNCTION("""COMPUTED_VALUE"""),158.18)</f>
        <v>158.18</v>
      </c>
      <c r="C3074" s="1">
        <f>IFERROR(__xludf.DUMMYFUNCTION("""COMPUTED_VALUE"""),161.06)</f>
        <v>161.06</v>
      </c>
      <c r="D3074" s="1">
        <f>IFERROR(__xludf.DUMMYFUNCTION("""COMPUTED_VALUE"""),158.18)</f>
        <v>158.18</v>
      </c>
      <c r="E3074" s="1">
        <f>IFERROR(__xludf.DUMMYFUNCTION("""COMPUTED_VALUE"""),158.94)</f>
        <v>158.94</v>
      </c>
      <c r="F3074" s="1">
        <f>IFERROR(__xludf.DUMMYFUNCTION("""COMPUTED_VALUE"""),59279.0)</f>
        <v>59279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IFERROR(__xludf.DUMMYFUNCTION("""COMPUTED_VALUE"""),159.12)</f>
        <v>159.12</v>
      </c>
      <c r="C3075" s="1">
        <f>IFERROR(__xludf.DUMMYFUNCTION("""COMPUTED_VALUE"""),159.42)</f>
        <v>159.42</v>
      </c>
      <c r="D3075" s="1">
        <f>IFERROR(__xludf.DUMMYFUNCTION("""COMPUTED_VALUE"""),154.75)</f>
        <v>154.75</v>
      </c>
      <c r="E3075" s="1">
        <f>IFERROR(__xludf.DUMMYFUNCTION("""COMPUTED_VALUE"""),155.64)</f>
        <v>155.64</v>
      </c>
      <c r="F3075" s="1">
        <f>IFERROR(__xludf.DUMMYFUNCTION("""COMPUTED_VALUE"""),116988.0)</f>
        <v>116988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IFERROR(__xludf.DUMMYFUNCTION("""COMPUTED_VALUE"""),154.43)</f>
        <v>154.43</v>
      </c>
      <c r="C3076" s="1">
        <f>IFERROR(__xludf.DUMMYFUNCTION("""COMPUTED_VALUE"""),157.98)</f>
        <v>157.98</v>
      </c>
      <c r="D3076" s="1">
        <f>IFERROR(__xludf.DUMMYFUNCTION("""COMPUTED_VALUE"""),154.43)</f>
        <v>154.43</v>
      </c>
      <c r="E3076" s="1">
        <f>IFERROR(__xludf.DUMMYFUNCTION("""COMPUTED_VALUE"""),156.57)</f>
        <v>156.57</v>
      </c>
      <c r="F3076" s="1">
        <f>IFERROR(__xludf.DUMMYFUNCTION("""COMPUTED_VALUE"""),49824.0)</f>
        <v>49824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IFERROR(__xludf.DUMMYFUNCTION("""COMPUTED_VALUE"""),157.45)</f>
        <v>157.45</v>
      </c>
      <c r="C3077" s="1">
        <f>IFERROR(__xludf.DUMMYFUNCTION("""COMPUTED_VALUE"""),157.62)</f>
        <v>157.62</v>
      </c>
      <c r="D3077" s="1">
        <f>IFERROR(__xludf.DUMMYFUNCTION("""COMPUTED_VALUE"""),154.92)</f>
        <v>154.92</v>
      </c>
      <c r="E3077" s="1">
        <f>IFERROR(__xludf.DUMMYFUNCTION("""COMPUTED_VALUE"""),155.34)</f>
        <v>155.34</v>
      </c>
      <c r="F3077" s="1">
        <f>IFERROR(__xludf.DUMMYFUNCTION("""COMPUTED_VALUE"""),46171.0)</f>
        <v>46171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IFERROR(__xludf.DUMMYFUNCTION("""COMPUTED_VALUE"""),155.1)</f>
        <v>155.1</v>
      </c>
      <c r="C3078" s="1">
        <f>IFERROR(__xludf.DUMMYFUNCTION("""COMPUTED_VALUE"""),155.1)</f>
        <v>155.1</v>
      </c>
      <c r="D3078" s="1">
        <f>IFERROR(__xludf.DUMMYFUNCTION("""COMPUTED_VALUE"""),152.24)</f>
        <v>152.24</v>
      </c>
      <c r="E3078" s="1">
        <f>IFERROR(__xludf.DUMMYFUNCTION("""COMPUTED_VALUE"""),152.49)</f>
        <v>152.49</v>
      </c>
      <c r="F3078" s="1">
        <f>IFERROR(__xludf.DUMMYFUNCTION("""COMPUTED_VALUE"""),64924.0)</f>
        <v>64924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IFERROR(__xludf.DUMMYFUNCTION("""COMPUTED_VALUE"""),152.33)</f>
        <v>152.33</v>
      </c>
      <c r="C3079" s="1">
        <f>IFERROR(__xludf.DUMMYFUNCTION("""COMPUTED_VALUE"""),153.0)</f>
        <v>153</v>
      </c>
      <c r="D3079" s="1">
        <f>IFERROR(__xludf.DUMMYFUNCTION("""COMPUTED_VALUE"""),151.04)</f>
        <v>151.04</v>
      </c>
      <c r="E3079" s="1">
        <f>IFERROR(__xludf.DUMMYFUNCTION("""COMPUTED_VALUE"""),151.65)</f>
        <v>151.65</v>
      </c>
      <c r="F3079" s="1">
        <f>IFERROR(__xludf.DUMMYFUNCTION("""COMPUTED_VALUE"""),33909.0)</f>
        <v>33909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IFERROR(__xludf.DUMMYFUNCTION("""COMPUTED_VALUE"""),151.55)</f>
        <v>151.55</v>
      </c>
      <c r="C3080" s="1">
        <f>IFERROR(__xludf.DUMMYFUNCTION("""COMPUTED_VALUE"""),155.39)</f>
        <v>155.39</v>
      </c>
      <c r="D3080" s="1">
        <f>IFERROR(__xludf.DUMMYFUNCTION("""COMPUTED_VALUE"""),150.66)</f>
        <v>150.66</v>
      </c>
      <c r="E3080" s="1">
        <f>IFERROR(__xludf.DUMMYFUNCTION("""COMPUTED_VALUE"""),155.08)</f>
        <v>155.08</v>
      </c>
      <c r="F3080" s="1">
        <f>IFERROR(__xludf.DUMMYFUNCTION("""COMPUTED_VALUE"""),47792.0)</f>
        <v>47792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IFERROR(__xludf.DUMMYFUNCTION("""COMPUTED_VALUE"""),154.81)</f>
        <v>154.81</v>
      </c>
      <c r="C3081" s="1">
        <f>IFERROR(__xludf.DUMMYFUNCTION("""COMPUTED_VALUE"""),154.81)</f>
        <v>154.81</v>
      </c>
      <c r="D3081" s="1">
        <f>IFERROR(__xludf.DUMMYFUNCTION("""COMPUTED_VALUE"""),151.34)</f>
        <v>151.34</v>
      </c>
      <c r="E3081" s="1">
        <f>IFERROR(__xludf.DUMMYFUNCTION("""COMPUTED_VALUE"""),152.35)</f>
        <v>152.35</v>
      </c>
      <c r="F3081" s="1">
        <f>IFERROR(__xludf.DUMMYFUNCTION("""COMPUTED_VALUE"""),44439.0)</f>
        <v>44439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IFERROR(__xludf.DUMMYFUNCTION("""COMPUTED_VALUE"""),152.54)</f>
        <v>152.54</v>
      </c>
      <c r="C3082" s="1">
        <f>IFERROR(__xludf.DUMMYFUNCTION("""COMPUTED_VALUE"""),154.91)</f>
        <v>154.91</v>
      </c>
      <c r="D3082" s="1">
        <f>IFERROR(__xludf.DUMMYFUNCTION("""COMPUTED_VALUE"""),152.54)</f>
        <v>152.54</v>
      </c>
      <c r="E3082" s="1">
        <f>IFERROR(__xludf.DUMMYFUNCTION("""COMPUTED_VALUE"""),153.94)</f>
        <v>153.94</v>
      </c>
      <c r="F3082" s="1">
        <f>IFERROR(__xludf.DUMMYFUNCTION("""COMPUTED_VALUE"""),68987.0)</f>
        <v>68987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IFERROR(__xludf.DUMMYFUNCTION("""COMPUTED_VALUE"""),154.02)</f>
        <v>154.02</v>
      </c>
      <c r="C3083" s="1">
        <f>IFERROR(__xludf.DUMMYFUNCTION("""COMPUTED_VALUE"""),155.67)</f>
        <v>155.67</v>
      </c>
      <c r="D3083" s="1">
        <f>IFERROR(__xludf.DUMMYFUNCTION("""COMPUTED_VALUE"""),152.78)</f>
        <v>152.78</v>
      </c>
      <c r="E3083" s="1">
        <f>IFERROR(__xludf.DUMMYFUNCTION("""COMPUTED_VALUE"""),153.94)</f>
        <v>153.94</v>
      </c>
      <c r="F3083" s="1">
        <f>IFERROR(__xludf.DUMMYFUNCTION("""COMPUTED_VALUE"""),51543.0)</f>
        <v>51543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IFERROR(__xludf.DUMMYFUNCTION("""COMPUTED_VALUE"""),153.42)</f>
        <v>153.42</v>
      </c>
      <c r="C3084" s="1">
        <f>IFERROR(__xludf.DUMMYFUNCTION("""COMPUTED_VALUE"""),155.63)</f>
        <v>155.63</v>
      </c>
      <c r="D3084" s="1">
        <f>IFERROR(__xludf.DUMMYFUNCTION("""COMPUTED_VALUE"""),153.05)</f>
        <v>153.05</v>
      </c>
      <c r="E3084" s="1">
        <f>IFERROR(__xludf.DUMMYFUNCTION("""COMPUTED_VALUE"""),155.1)</f>
        <v>155.1</v>
      </c>
      <c r="F3084" s="1">
        <f>IFERROR(__xludf.DUMMYFUNCTION("""COMPUTED_VALUE"""),83888.0)</f>
        <v>83888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IFERROR(__xludf.DUMMYFUNCTION("""COMPUTED_VALUE"""),155.2)</f>
        <v>155.2</v>
      </c>
      <c r="C3085" s="1">
        <f>IFERROR(__xludf.DUMMYFUNCTION("""COMPUTED_VALUE"""),158.55)</f>
        <v>158.55</v>
      </c>
      <c r="D3085" s="1">
        <f>IFERROR(__xludf.DUMMYFUNCTION("""COMPUTED_VALUE"""),155.2)</f>
        <v>155.2</v>
      </c>
      <c r="E3085" s="1">
        <f>IFERROR(__xludf.DUMMYFUNCTION("""COMPUTED_VALUE"""),158.55)</f>
        <v>158.55</v>
      </c>
      <c r="F3085" s="1">
        <f>IFERROR(__xludf.DUMMYFUNCTION("""COMPUTED_VALUE"""),67156.0)</f>
        <v>67156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IFERROR(__xludf.DUMMYFUNCTION("""COMPUTED_VALUE"""),158.81)</f>
        <v>158.81</v>
      </c>
      <c r="C3086" s="1">
        <f>IFERROR(__xludf.DUMMYFUNCTION("""COMPUTED_VALUE"""),158.81)</f>
        <v>158.81</v>
      </c>
      <c r="D3086" s="1">
        <f>IFERROR(__xludf.DUMMYFUNCTION("""COMPUTED_VALUE"""),154.37)</f>
        <v>154.37</v>
      </c>
      <c r="E3086" s="1">
        <f>IFERROR(__xludf.DUMMYFUNCTION("""COMPUTED_VALUE"""),155.32)</f>
        <v>155.32</v>
      </c>
      <c r="F3086" s="1">
        <f>IFERROR(__xludf.DUMMYFUNCTION("""COMPUTED_VALUE"""),59127.0)</f>
        <v>59127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IFERROR(__xludf.DUMMYFUNCTION("""COMPUTED_VALUE"""),155.71)</f>
        <v>155.71</v>
      </c>
      <c r="C3087" s="1">
        <f>IFERROR(__xludf.DUMMYFUNCTION("""COMPUTED_VALUE"""),156.83)</f>
        <v>156.83</v>
      </c>
      <c r="D3087" s="1">
        <f>IFERROR(__xludf.DUMMYFUNCTION("""COMPUTED_VALUE"""),152.55)</f>
        <v>152.55</v>
      </c>
      <c r="E3087" s="1">
        <f>IFERROR(__xludf.DUMMYFUNCTION("""COMPUTED_VALUE"""),152.77)</f>
        <v>152.77</v>
      </c>
      <c r="F3087" s="1">
        <f>IFERROR(__xludf.DUMMYFUNCTION("""COMPUTED_VALUE"""),80979.0)</f>
        <v>80979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IFERROR(__xludf.DUMMYFUNCTION("""COMPUTED_VALUE"""),152.23)</f>
        <v>152.23</v>
      </c>
      <c r="C3088" s="1">
        <f>IFERROR(__xludf.DUMMYFUNCTION("""COMPUTED_VALUE"""),154.71)</f>
        <v>154.71</v>
      </c>
      <c r="D3088" s="1">
        <f>IFERROR(__xludf.DUMMYFUNCTION("""COMPUTED_VALUE"""),152.23)</f>
        <v>152.23</v>
      </c>
      <c r="E3088" s="1">
        <f>IFERROR(__xludf.DUMMYFUNCTION("""COMPUTED_VALUE"""),152.75)</f>
        <v>152.75</v>
      </c>
      <c r="F3088" s="1">
        <f>IFERROR(__xludf.DUMMYFUNCTION("""COMPUTED_VALUE"""),62166.0)</f>
        <v>62166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IFERROR(__xludf.DUMMYFUNCTION("""COMPUTED_VALUE"""),153.5)</f>
        <v>153.5</v>
      </c>
      <c r="C3089" s="1">
        <f>IFERROR(__xludf.DUMMYFUNCTION("""COMPUTED_VALUE"""),153.64)</f>
        <v>153.64</v>
      </c>
      <c r="D3089" s="1">
        <f>IFERROR(__xludf.DUMMYFUNCTION("""COMPUTED_VALUE"""),152.22)</f>
        <v>152.22</v>
      </c>
      <c r="E3089" s="1">
        <f>IFERROR(__xludf.DUMMYFUNCTION("""COMPUTED_VALUE"""),153.14)</f>
        <v>153.14</v>
      </c>
      <c r="F3089" s="1">
        <f>IFERROR(__xludf.DUMMYFUNCTION("""COMPUTED_VALUE"""),59196.0)</f>
        <v>59196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IFERROR(__xludf.DUMMYFUNCTION("""COMPUTED_VALUE"""),153.2)</f>
        <v>153.2</v>
      </c>
      <c r="C3090" s="1">
        <f>IFERROR(__xludf.DUMMYFUNCTION("""COMPUTED_VALUE"""),153.98)</f>
        <v>153.98</v>
      </c>
      <c r="D3090" s="1">
        <f>IFERROR(__xludf.DUMMYFUNCTION("""COMPUTED_VALUE"""),151.8)</f>
        <v>151.8</v>
      </c>
      <c r="E3090" s="1">
        <f>IFERROR(__xludf.DUMMYFUNCTION("""COMPUTED_VALUE"""),152.45)</f>
        <v>152.45</v>
      </c>
      <c r="F3090" s="1">
        <f>IFERROR(__xludf.DUMMYFUNCTION("""COMPUTED_VALUE"""),60506.0)</f>
        <v>60506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IFERROR(__xludf.DUMMYFUNCTION("""COMPUTED_VALUE"""),152.57)</f>
        <v>152.57</v>
      </c>
      <c r="C3091" s="1">
        <f>IFERROR(__xludf.DUMMYFUNCTION("""COMPUTED_VALUE"""),154.82)</f>
        <v>154.82</v>
      </c>
      <c r="D3091" s="1">
        <f>IFERROR(__xludf.DUMMYFUNCTION("""COMPUTED_VALUE"""),152.57)</f>
        <v>152.57</v>
      </c>
      <c r="E3091" s="1">
        <f>IFERROR(__xludf.DUMMYFUNCTION("""COMPUTED_VALUE"""),153.02)</f>
        <v>153.02</v>
      </c>
      <c r="F3091" s="1">
        <f>IFERROR(__xludf.DUMMYFUNCTION("""COMPUTED_VALUE"""),61128.0)</f>
        <v>61128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IFERROR(__xludf.DUMMYFUNCTION("""COMPUTED_VALUE"""),153.98)</f>
        <v>153.98</v>
      </c>
      <c r="C3092" s="1">
        <f>IFERROR(__xludf.DUMMYFUNCTION("""COMPUTED_VALUE"""),154.32)</f>
        <v>154.32</v>
      </c>
      <c r="D3092" s="1">
        <f>IFERROR(__xludf.DUMMYFUNCTION("""COMPUTED_VALUE"""),152.44)</f>
        <v>152.44</v>
      </c>
      <c r="E3092" s="1">
        <f>IFERROR(__xludf.DUMMYFUNCTION("""COMPUTED_VALUE"""),152.99)</f>
        <v>152.99</v>
      </c>
      <c r="F3092" s="1">
        <f>IFERROR(__xludf.DUMMYFUNCTION("""COMPUTED_VALUE"""),55627.0)</f>
        <v>55627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IFERROR(__xludf.DUMMYFUNCTION("""COMPUTED_VALUE"""),153.7)</f>
        <v>153.7</v>
      </c>
      <c r="C3093" s="1">
        <f>IFERROR(__xludf.DUMMYFUNCTION("""COMPUTED_VALUE"""),155.45)</f>
        <v>155.45</v>
      </c>
      <c r="D3093" s="1">
        <f>IFERROR(__xludf.DUMMYFUNCTION("""COMPUTED_VALUE"""),152.9)</f>
        <v>152.9</v>
      </c>
      <c r="E3093" s="1">
        <f>IFERROR(__xludf.DUMMYFUNCTION("""COMPUTED_VALUE"""),154.87)</f>
        <v>154.87</v>
      </c>
      <c r="F3093" s="1">
        <f>IFERROR(__xludf.DUMMYFUNCTION("""COMPUTED_VALUE"""),52029.0)</f>
        <v>52029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IFERROR(__xludf.DUMMYFUNCTION("""COMPUTED_VALUE"""),155.35)</f>
        <v>155.35</v>
      </c>
      <c r="C3094" s="1">
        <f>IFERROR(__xludf.DUMMYFUNCTION("""COMPUTED_VALUE"""),157.72)</f>
        <v>157.72</v>
      </c>
      <c r="D3094" s="1">
        <f>IFERROR(__xludf.DUMMYFUNCTION("""COMPUTED_VALUE"""),154.42)</f>
        <v>154.42</v>
      </c>
      <c r="E3094" s="1">
        <f>IFERROR(__xludf.DUMMYFUNCTION("""COMPUTED_VALUE"""),156.15)</f>
        <v>156.15</v>
      </c>
      <c r="F3094" s="1">
        <f>IFERROR(__xludf.DUMMYFUNCTION("""COMPUTED_VALUE"""),69653.0)</f>
        <v>69653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IFERROR(__xludf.DUMMYFUNCTION("""COMPUTED_VALUE"""),155.77)</f>
        <v>155.77</v>
      </c>
      <c r="C3095" s="1">
        <f>IFERROR(__xludf.DUMMYFUNCTION("""COMPUTED_VALUE"""),157.46)</f>
        <v>157.46</v>
      </c>
      <c r="D3095" s="1">
        <f>IFERROR(__xludf.DUMMYFUNCTION("""COMPUTED_VALUE"""),154.44)</f>
        <v>154.44</v>
      </c>
      <c r="E3095" s="1">
        <f>IFERROR(__xludf.DUMMYFUNCTION("""COMPUTED_VALUE"""),154.78)</f>
        <v>154.78</v>
      </c>
      <c r="F3095" s="1">
        <f>IFERROR(__xludf.DUMMYFUNCTION("""COMPUTED_VALUE"""),46027.0)</f>
        <v>46027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IFERROR(__xludf.DUMMYFUNCTION("""COMPUTED_VALUE"""),155.46)</f>
        <v>155.46</v>
      </c>
      <c r="C3096" s="1">
        <f>IFERROR(__xludf.DUMMYFUNCTION("""COMPUTED_VALUE"""),157.15)</f>
        <v>157.15</v>
      </c>
      <c r="D3096" s="1">
        <f>IFERROR(__xludf.DUMMYFUNCTION("""COMPUTED_VALUE"""),155.46)</f>
        <v>155.46</v>
      </c>
      <c r="E3096" s="1">
        <f>IFERROR(__xludf.DUMMYFUNCTION("""COMPUTED_VALUE"""),157.0)</f>
        <v>157</v>
      </c>
      <c r="F3096" s="1">
        <f>IFERROR(__xludf.DUMMYFUNCTION("""COMPUTED_VALUE"""),35428.0)</f>
        <v>35428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IFERROR(__xludf.DUMMYFUNCTION("""COMPUTED_VALUE"""),157.95)</f>
        <v>157.95</v>
      </c>
      <c r="C3097" s="1">
        <f>IFERROR(__xludf.DUMMYFUNCTION("""COMPUTED_VALUE"""),160.17)</f>
        <v>160.17</v>
      </c>
      <c r="D3097" s="1">
        <f>IFERROR(__xludf.DUMMYFUNCTION("""COMPUTED_VALUE"""),157.0)</f>
        <v>157</v>
      </c>
      <c r="E3097" s="1">
        <f>IFERROR(__xludf.DUMMYFUNCTION("""COMPUTED_VALUE"""),159.69)</f>
        <v>159.69</v>
      </c>
      <c r="F3097" s="1">
        <f>IFERROR(__xludf.DUMMYFUNCTION("""COMPUTED_VALUE"""),57617.0)</f>
        <v>57617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IFERROR(__xludf.DUMMYFUNCTION("""COMPUTED_VALUE"""),160.59)</f>
        <v>160.59</v>
      </c>
      <c r="C3098" s="1">
        <f>IFERROR(__xludf.DUMMYFUNCTION("""COMPUTED_VALUE"""),160.88)</f>
        <v>160.88</v>
      </c>
      <c r="D3098" s="1">
        <f>IFERROR(__xludf.DUMMYFUNCTION("""COMPUTED_VALUE"""),158.72)</f>
        <v>158.72</v>
      </c>
      <c r="E3098" s="1">
        <f>IFERROR(__xludf.DUMMYFUNCTION("""COMPUTED_VALUE"""),158.86)</f>
        <v>158.86</v>
      </c>
      <c r="F3098" s="1">
        <f>IFERROR(__xludf.DUMMYFUNCTION("""COMPUTED_VALUE"""),49923.0)</f>
        <v>49923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IFERROR(__xludf.DUMMYFUNCTION("""COMPUTED_VALUE"""),159.38)</f>
        <v>159.38</v>
      </c>
      <c r="C3099" s="1">
        <f>IFERROR(__xludf.DUMMYFUNCTION("""COMPUTED_VALUE"""),159.71)</f>
        <v>159.71</v>
      </c>
      <c r="D3099" s="1">
        <f>IFERROR(__xludf.DUMMYFUNCTION("""COMPUTED_VALUE"""),157.44)</f>
        <v>157.44</v>
      </c>
      <c r="E3099" s="1">
        <f>IFERROR(__xludf.DUMMYFUNCTION("""COMPUTED_VALUE"""),157.81)</f>
        <v>157.81</v>
      </c>
      <c r="F3099" s="1">
        <f>IFERROR(__xludf.DUMMYFUNCTION("""COMPUTED_VALUE"""),64394.0)</f>
        <v>64394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IFERROR(__xludf.DUMMYFUNCTION("""COMPUTED_VALUE"""),157.4)</f>
        <v>157.4</v>
      </c>
      <c r="C3100" s="1">
        <f>IFERROR(__xludf.DUMMYFUNCTION("""COMPUTED_VALUE"""),159.29)</f>
        <v>159.29</v>
      </c>
      <c r="D3100" s="1">
        <f>IFERROR(__xludf.DUMMYFUNCTION("""COMPUTED_VALUE"""),154.02)</f>
        <v>154.02</v>
      </c>
      <c r="E3100" s="1">
        <f>IFERROR(__xludf.DUMMYFUNCTION("""COMPUTED_VALUE"""),157.25)</f>
        <v>157.25</v>
      </c>
      <c r="F3100" s="1">
        <f>IFERROR(__xludf.DUMMYFUNCTION("""COMPUTED_VALUE"""),73758.0)</f>
        <v>73758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IFERROR(__xludf.DUMMYFUNCTION("""COMPUTED_VALUE"""),156.43)</f>
        <v>156.43</v>
      </c>
      <c r="C3101" s="1">
        <f>IFERROR(__xludf.DUMMYFUNCTION("""COMPUTED_VALUE"""),157.81)</f>
        <v>157.81</v>
      </c>
      <c r="D3101" s="1">
        <f>IFERROR(__xludf.DUMMYFUNCTION("""COMPUTED_VALUE"""),150.65)</f>
        <v>150.65</v>
      </c>
      <c r="E3101" s="1">
        <f>IFERROR(__xludf.DUMMYFUNCTION("""COMPUTED_VALUE"""),150.67)</f>
        <v>150.67</v>
      </c>
      <c r="F3101" s="1">
        <f>IFERROR(__xludf.DUMMYFUNCTION("""COMPUTED_VALUE"""),67138.0)</f>
        <v>67138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IFERROR(__xludf.DUMMYFUNCTION("""COMPUTED_VALUE"""),151.37)</f>
        <v>151.37</v>
      </c>
      <c r="C3102" s="1">
        <f>IFERROR(__xludf.DUMMYFUNCTION("""COMPUTED_VALUE"""),154.57)</f>
        <v>154.57</v>
      </c>
      <c r="D3102" s="1">
        <f>IFERROR(__xludf.DUMMYFUNCTION("""COMPUTED_VALUE"""),151.37)</f>
        <v>151.37</v>
      </c>
      <c r="E3102" s="1">
        <f>IFERROR(__xludf.DUMMYFUNCTION("""COMPUTED_VALUE"""),151.63)</f>
        <v>151.63</v>
      </c>
      <c r="F3102" s="1">
        <f>IFERROR(__xludf.DUMMYFUNCTION("""COMPUTED_VALUE"""),75936.0)</f>
        <v>75936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IFERROR(__xludf.DUMMYFUNCTION("""COMPUTED_VALUE"""),152.49)</f>
        <v>152.49</v>
      </c>
      <c r="C3103" s="1">
        <f>IFERROR(__xludf.DUMMYFUNCTION("""COMPUTED_VALUE"""),153.58)</f>
        <v>153.58</v>
      </c>
      <c r="D3103" s="1">
        <f>IFERROR(__xludf.DUMMYFUNCTION("""COMPUTED_VALUE"""),151.4)</f>
        <v>151.4</v>
      </c>
      <c r="E3103" s="1">
        <f>IFERROR(__xludf.DUMMYFUNCTION("""COMPUTED_VALUE"""),152.39)</f>
        <v>152.39</v>
      </c>
      <c r="F3103" s="1">
        <f>IFERROR(__xludf.DUMMYFUNCTION("""COMPUTED_VALUE"""),51785.0)</f>
        <v>51785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IFERROR(__xludf.DUMMYFUNCTION("""COMPUTED_VALUE"""),152.13)</f>
        <v>152.13</v>
      </c>
      <c r="C3104" s="1">
        <f>IFERROR(__xludf.DUMMYFUNCTION("""COMPUTED_VALUE"""),153.08)</f>
        <v>153.08</v>
      </c>
      <c r="D3104" s="1">
        <f>IFERROR(__xludf.DUMMYFUNCTION("""COMPUTED_VALUE"""),149.27)</f>
        <v>149.27</v>
      </c>
      <c r="E3104" s="1">
        <f>IFERROR(__xludf.DUMMYFUNCTION("""COMPUTED_VALUE"""),149.7)</f>
        <v>149.7</v>
      </c>
      <c r="F3104" s="1">
        <f>IFERROR(__xludf.DUMMYFUNCTION("""COMPUTED_VALUE"""),75449.0)</f>
        <v>75449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IFERROR(__xludf.DUMMYFUNCTION("""COMPUTED_VALUE"""),150.14)</f>
        <v>150.14</v>
      </c>
      <c r="C3105" s="1">
        <f>IFERROR(__xludf.DUMMYFUNCTION("""COMPUTED_VALUE"""),150.14)</f>
        <v>150.14</v>
      </c>
      <c r="D3105" s="1">
        <f>IFERROR(__xludf.DUMMYFUNCTION("""COMPUTED_VALUE"""),143.9)</f>
        <v>143.9</v>
      </c>
      <c r="E3105" s="1">
        <f>IFERROR(__xludf.DUMMYFUNCTION("""COMPUTED_VALUE"""),146.85)</f>
        <v>146.85</v>
      </c>
      <c r="F3105" s="1">
        <f>IFERROR(__xludf.DUMMYFUNCTION("""COMPUTED_VALUE"""),100818.0)</f>
        <v>100818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IFERROR(__xludf.DUMMYFUNCTION("""COMPUTED_VALUE"""),137.51)</f>
        <v>137.51</v>
      </c>
      <c r="C3106" s="1">
        <f>IFERROR(__xludf.DUMMYFUNCTION("""COMPUTED_VALUE"""),138.85)</f>
        <v>138.85</v>
      </c>
      <c r="D3106" s="1">
        <f>IFERROR(__xludf.DUMMYFUNCTION("""COMPUTED_VALUE"""),125.68)</f>
        <v>125.68</v>
      </c>
      <c r="E3106" s="1">
        <f>IFERROR(__xludf.DUMMYFUNCTION("""COMPUTED_VALUE"""),132.6)</f>
        <v>132.6</v>
      </c>
      <c r="F3106" s="1">
        <f>IFERROR(__xludf.DUMMYFUNCTION("""COMPUTED_VALUE"""),311900.0)</f>
        <v>311900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IFERROR(__xludf.DUMMYFUNCTION("""COMPUTED_VALUE"""),132.81)</f>
        <v>132.81</v>
      </c>
      <c r="C3107" s="1">
        <f>IFERROR(__xludf.DUMMYFUNCTION("""COMPUTED_VALUE"""),132.81)</f>
        <v>132.81</v>
      </c>
      <c r="D3107" s="1">
        <f>IFERROR(__xludf.DUMMYFUNCTION("""COMPUTED_VALUE"""),124.74)</f>
        <v>124.74</v>
      </c>
      <c r="E3107" s="1">
        <f>IFERROR(__xludf.DUMMYFUNCTION("""COMPUTED_VALUE"""),130.54)</f>
        <v>130.54</v>
      </c>
      <c r="F3107" s="1">
        <f>IFERROR(__xludf.DUMMYFUNCTION("""COMPUTED_VALUE"""),185668.0)</f>
        <v>185668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IFERROR(__xludf.DUMMYFUNCTION("""COMPUTED_VALUE"""),129.63)</f>
        <v>129.63</v>
      </c>
      <c r="C3108" s="1">
        <f>IFERROR(__xludf.DUMMYFUNCTION("""COMPUTED_VALUE"""),129.63)</f>
        <v>129.63</v>
      </c>
      <c r="D3108" s="1">
        <f>IFERROR(__xludf.DUMMYFUNCTION("""COMPUTED_VALUE"""),123.35)</f>
        <v>123.35</v>
      </c>
      <c r="E3108" s="1">
        <f>IFERROR(__xludf.DUMMYFUNCTION("""COMPUTED_VALUE"""),124.07)</f>
        <v>124.07</v>
      </c>
      <c r="F3108" s="1">
        <f>IFERROR(__xludf.DUMMYFUNCTION("""COMPUTED_VALUE"""),134350.0)</f>
        <v>134350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IFERROR(__xludf.DUMMYFUNCTION("""COMPUTED_VALUE"""),124.43)</f>
        <v>124.43</v>
      </c>
      <c r="C3109" s="1">
        <f>IFERROR(__xludf.DUMMYFUNCTION("""COMPUTED_VALUE"""),125.95)</f>
        <v>125.95</v>
      </c>
      <c r="D3109" s="1">
        <f>IFERROR(__xludf.DUMMYFUNCTION("""COMPUTED_VALUE"""),122.21)</f>
        <v>122.21</v>
      </c>
      <c r="E3109" s="1">
        <f>IFERROR(__xludf.DUMMYFUNCTION("""COMPUTED_VALUE"""),123.62)</f>
        <v>123.62</v>
      </c>
      <c r="F3109" s="1">
        <f>IFERROR(__xludf.DUMMYFUNCTION("""COMPUTED_VALUE"""),117637.0)</f>
        <v>117637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IFERROR(__xludf.DUMMYFUNCTION("""COMPUTED_VALUE"""),124.43)</f>
        <v>124.43</v>
      </c>
      <c r="C3110" s="1">
        <f>IFERROR(__xludf.DUMMYFUNCTION("""COMPUTED_VALUE"""),127.98)</f>
        <v>127.98</v>
      </c>
      <c r="D3110" s="1">
        <f>IFERROR(__xludf.DUMMYFUNCTION("""COMPUTED_VALUE"""),122.23)</f>
        <v>122.23</v>
      </c>
      <c r="E3110" s="1">
        <f>IFERROR(__xludf.DUMMYFUNCTION("""COMPUTED_VALUE"""),123.22)</f>
        <v>123.22</v>
      </c>
      <c r="F3110" s="1">
        <f>IFERROR(__xludf.DUMMYFUNCTION("""COMPUTED_VALUE"""),145818.0)</f>
        <v>145818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IFERROR(__xludf.DUMMYFUNCTION("""COMPUTED_VALUE"""),123.73)</f>
        <v>123.73</v>
      </c>
      <c r="C3111" s="1">
        <f>IFERROR(__xludf.DUMMYFUNCTION("""COMPUTED_VALUE"""),126.46)</f>
        <v>126.46</v>
      </c>
      <c r="D3111" s="1">
        <f>IFERROR(__xludf.DUMMYFUNCTION("""COMPUTED_VALUE"""),122.02)</f>
        <v>122.02</v>
      </c>
      <c r="E3111" s="1">
        <f>IFERROR(__xludf.DUMMYFUNCTION("""COMPUTED_VALUE"""),125.99)</f>
        <v>125.99</v>
      </c>
      <c r="F3111" s="1">
        <f>IFERROR(__xludf.DUMMYFUNCTION("""COMPUTED_VALUE"""),125543.0)</f>
        <v>125543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IFERROR(__xludf.DUMMYFUNCTION("""COMPUTED_VALUE"""),125.64)</f>
        <v>125.64</v>
      </c>
      <c r="C3112" s="1">
        <f>IFERROR(__xludf.DUMMYFUNCTION("""COMPUTED_VALUE"""),127.49)</f>
        <v>127.49</v>
      </c>
      <c r="D3112" s="1">
        <f>IFERROR(__xludf.DUMMYFUNCTION("""COMPUTED_VALUE"""),122.19)</f>
        <v>122.19</v>
      </c>
      <c r="E3112" s="1">
        <f>IFERROR(__xludf.DUMMYFUNCTION("""COMPUTED_VALUE"""),122.95)</f>
        <v>122.95</v>
      </c>
      <c r="F3112" s="1">
        <f>IFERROR(__xludf.DUMMYFUNCTION("""COMPUTED_VALUE"""),79119.0)</f>
        <v>79119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IFERROR(__xludf.DUMMYFUNCTION("""COMPUTED_VALUE"""),122.14)</f>
        <v>122.14</v>
      </c>
      <c r="C3113" s="1">
        <f>IFERROR(__xludf.DUMMYFUNCTION("""COMPUTED_VALUE"""),127.12)</f>
        <v>127.12</v>
      </c>
      <c r="D3113" s="1">
        <f>IFERROR(__xludf.DUMMYFUNCTION("""COMPUTED_VALUE"""),121.67)</f>
        <v>121.67</v>
      </c>
      <c r="E3113" s="1">
        <f>IFERROR(__xludf.DUMMYFUNCTION("""COMPUTED_VALUE"""),127.11)</f>
        <v>127.11</v>
      </c>
      <c r="F3113" s="1">
        <f>IFERROR(__xludf.DUMMYFUNCTION("""COMPUTED_VALUE"""),122816.0)</f>
        <v>122816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IFERROR(__xludf.DUMMYFUNCTION("""COMPUTED_VALUE"""),126.49)</f>
        <v>126.49</v>
      </c>
      <c r="C3114" s="1">
        <f>IFERROR(__xludf.DUMMYFUNCTION("""COMPUTED_VALUE"""),131.63)</f>
        <v>131.63</v>
      </c>
      <c r="D3114" s="1">
        <f>IFERROR(__xludf.DUMMYFUNCTION("""COMPUTED_VALUE"""),126.49)</f>
        <v>126.49</v>
      </c>
      <c r="E3114" s="1">
        <f>IFERROR(__xludf.DUMMYFUNCTION("""COMPUTED_VALUE"""),130.47)</f>
        <v>130.47</v>
      </c>
      <c r="F3114" s="1">
        <f>IFERROR(__xludf.DUMMYFUNCTION("""COMPUTED_VALUE"""),109993.0)</f>
        <v>109993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IFERROR(__xludf.DUMMYFUNCTION("""COMPUTED_VALUE"""),131.12)</f>
        <v>131.12</v>
      </c>
      <c r="C3115" s="1">
        <f>IFERROR(__xludf.DUMMYFUNCTION("""COMPUTED_VALUE"""),131.48)</f>
        <v>131.48</v>
      </c>
      <c r="D3115" s="1">
        <f>IFERROR(__xludf.DUMMYFUNCTION("""COMPUTED_VALUE"""),125.01)</f>
        <v>125.01</v>
      </c>
      <c r="E3115" s="1">
        <f>IFERROR(__xludf.DUMMYFUNCTION("""COMPUTED_VALUE"""),125.83)</f>
        <v>125.83</v>
      </c>
      <c r="F3115" s="1">
        <f>IFERROR(__xludf.DUMMYFUNCTION("""COMPUTED_VALUE"""),72554.0)</f>
        <v>72554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IFERROR(__xludf.DUMMYFUNCTION("""COMPUTED_VALUE"""),126.79)</f>
        <v>126.79</v>
      </c>
      <c r="C3116" s="1">
        <f>IFERROR(__xludf.DUMMYFUNCTION("""COMPUTED_VALUE"""),126.79)</f>
        <v>126.79</v>
      </c>
      <c r="D3116" s="1">
        <f>IFERROR(__xludf.DUMMYFUNCTION("""COMPUTED_VALUE"""),122.72)</f>
        <v>122.72</v>
      </c>
      <c r="E3116" s="1">
        <f>IFERROR(__xludf.DUMMYFUNCTION("""COMPUTED_VALUE"""),123.12)</f>
        <v>123.12</v>
      </c>
      <c r="F3116" s="1">
        <f>IFERROR(__xludf.DUMMYFUNCTION("""COMPUTED_VALUE"""),82050.0)</f>
        <v>82050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IFERROR(__xludf.DUMMYFUNCTION("""COMPUTED_VALUE"""),121.71)</f>
        <v>121.71</v>
      </c>
      <c r="C3117" s="1">
        <f>IFERROR(__xludf.DUMMYFUNCTION("""COMPUTED_VALUE"""),124.36)</f>
        <v>124.36</v>
      </c>
      <c r="D3117" s="1">
        <f>IFERROR(__xludf.DUMMYFUNCTION("""COMPUTED_VALUE"""),117.45)</f>
        <v>117.45</v>
      </c>
      <c r="E3117" s="1">
        <f>IFERROR(__xludf.DUMMYFUNCTION("""COMPUTED_VALUE"""),118.86)</f>
        <v>118.86</v>
      </c>
      <c r="F3117" s="1">
        <f>IFERROR(__xludf.DUMMYFUNCTION("""COMPUTED_VALUE"""),118896.0)</f>
        <v>118896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IFERROR(__xludf.DUMMYFUNCTION("""COMPUTED_VALUE"""),118.73)</f>
        <v>118.73</v>
      </c>
      <c r="C3118" s="1">
        <f>IFERROR(__xludf.DUMMYFUNCTION("""COMPUTED_VALUE"""),123.37)</f>
        <v>123.37</v>
      </c>
      <c r="D3118" s="1">
        <f>IFERROR(__xludf.DUMMYFUNCTION("""COMPUTED_VALUE"""),118.08)</f>
        <v>118.08</v>
      </c>
      <c r="E3118" s="1">
        <f>IFERROR(__xludf.DUMMYFUNCTION("""COMPUTED_VALUE"""),123.01)</f>
        <v>123.01</v>
      </c>
      <c r="F3118" s="1">
        <f>IFERROR(__xludf.DUMMYFUNCTION("""COMPUTED_VALUE"""),184806.0)</f>
        <v>184806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IFERROR(__xludf.DUMMYFUNCTION("""COMPUTED_VALUE"""),121.57)</f>
        <v>121.57</v>
      </c>
      <c r="C3119" s="1">
        <f>IFERROR(__xludf.DUMMYFUNCTION("""COMPUTED_VALUE"""),126.27)</f>
        <v>126.27</v>
      </c>
      <c r="D3119" s="1">
        <f>IFERROR(__xludf.DUMMYFUNCTION("""COMPUTED_VALUE"""),121.57)</f>
        <v>121.57</v>
      </c>
      <c r="E3119" s="1">
        <f>IFERROR(__xludf.DUMMYFUNCTION("""COMPUTED_VALUE"""),123.03)</f>
        <v>123.03</v>
      </c>
      <c r="F3119" s="1">
        <f>IFERROR(__xludf.DUMMYFUNCTION("""COMPUTED_VALUE"""),153409.0)</f>
        <v>153409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IFERROR(__xludf.DUMMYFUNCTION("""COMPUTED_VALUE"""),125.71)</f>
        <v>125.71</v>
      </c>
      <c r="C3120" s="1">
        <f>IFERROR(__xludf.DUMMYFUNCTION("""COMPUTED_VALUE"""),126.79)</f>
        <v>126.79</v>
      </c>
      <c r="D3120" s="1">
        <f>IFERROR(__xludf.DUMMYFUNCTION("""COMPUTED_VALUE"""),123.26)</f>
        <v>123.26</v>
      </c>
      <c r="E3120" s="1">
        <f>IFERROR(__xludf.DUMMYFUNCTION("""COMPUTED_VALUE"""),124.61)</f>
        <v>124.61</v>
      </c>
      <c r="F3120" s="1">
        <f>IFERROR(__xludf.DUMMYFUNCTION("""COMPUTED_VALUE"""),127928.0)</f>
        <v>127928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IFERROR(__xludf.DUMMYFUNCTION("""COMPUTED_VALUE"""),123.68)</f>
        <v>123.68</v>
      </c>
      <c r="C3121" s="1">
        <f>IFERROR(__xludf.DUMMYFUNCTION("""COMPUTED_VALUE"""),126.75)</f>
        <v>126.75</v>
      </c>
      <c r="D3121" s="1">
        <f>IFERROR(__xludf.DUMMYFUNCTION("""COMPUTED_VALUE"""),122.01)</f>
        <v>122.01</v>
      </c>
      <c r="E3121" s="1">
        <f>IFERROR(__xludf.DUMMYFUNCTION("""COMPUTED_VALUE"""),126.5)</f>
        <v>126.5</v>
      </c>
      <c r="F3121" s="1">
        <f>IFERROR(__xludf.DUMMYFUNCTION("""COMPUTED_VALUE"""),118790.0)</f>
        <v>118790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IFERROR(__xludf.DUMMYFUNCTION("""COMPUTED_VALUE"""),125.74)</f>
        <v>125.74</v>
      </c>
      <c r="C3122" s="1">
        <f>IFERROR(__xludf.DUMMYFUNCTION("""COMPUTED_VALUE"""),128.67)</f>
        <v>128.67</v>
      </c>
      <c r="D3122" s="1">
        <f>IFERROR(__xludf.DUMMYFUNCTION("""COMPUTED_VALUE"""),123.85)</f>
        <v>123.85</v>
      </c>
      <c r="E3122" s="1">
        <f>IFERROR(__xludf.DUMMYFUNCTION("""COMPUTED_VALUE"""),127.97)</f>
        <v>127.97</v>
      </c>
      <c r="F3122" s="1">
        <f>IFERROR(__xludf.DUMMYFUNCTION("""COMPUTED_VALUE"""),295424.0)</f>
        <v>295424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IFERROR(__xludf.DUMMYFUNCTION("""COMPUTED_VALUE"""),127.54)</f>
        <v>127.54</v>
      </c>
      <c r="C3123" s="1">
        <f>IFERROR(__xludf.DUMMYFUNCTION("""COMPUTED_VALUE"""),128.92)</f>
        <v>128.92</v>
      </c>
      <c r="D3123" s="1">
        <f>IFERROR(__xludf.DUMMYFUNCTION("""COMPUTED_VALUE"""),124.92)</f>
        <v>124.92</v>
      </c>
      <c r="E3123" s="1">
        <f>IFERROR(__xludf.DUMMYFUNCTION("""COMPUTED_VALUE"""),125.5)</f>
        <v>125.5</v>
      </c>
      <c r="F3123" s="1">
        <f>IFERROR(__xludf.DUMMYFUNCTION("""COMPUTED_VALUE"""),89253.0)</f>
        <v>89253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IFERROR(__xludf.DUMMYFUNCTION("""COMPUTED_VALUE"""),126.26)</f>
        <v>126.26</v>
      </c>
      <c r="C3124" s="1">
        <f>IFERROR(__xludf.DUMMYFUNCTION("""COMPUTED_VALUE"""),127.79)</f>
        <v>127.79</v>
      </c>
      <c r="D3124" s="1">
        <f>IFERROR(__xludf.DUMMYFUNCTION("""COMPUTED_VALUE"""),124.85)</f>
        <v>124.85</v>
      </c>
      <c r="E3124" s="1">
        <f>IFERROR(__xludf.DUMMYFUNCTION("""COMPUTED_VALUE"""),127.72)</f>
        <v>127.72</v>
      </c>
      <c r="F3124" s="1">
        <f>IFERROR(__xludf.DUMMYFUNCTION("""COMPUTED_VALUE"""),78722.0)</f>
        <v>78722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IFERROR(__xludf.DUMMYFUNCTION("""COMPUTED_VALUE"""),127.69)</f>
        <v>127.69</v>
      </c>
      <c r="C3125" s="1">
        <f>IFERROR(__xludf.DUMMYFUNCTION("""COMPUTED_VALUE"""),129.99)</f>
        <v>129.99</v>
      </c>
      <c r="D3125" s="1">
        <f>IFERROR(__xludf.DUMMYFUNCTION("""COMPUTED_VALUE"""),125.79)</f>
        <v>125.79</v>
      </c>
      <c r="E3125" s="1">
        <f>IFERROR(__xludf.DUMMYFUNCTION("""COMPUTED_VALUE"""),128.22)</f>
        <v>128.22</v>
      </c>
      <c r="F3125" s="1">
        <f>IFERROR(__xludf.DUMMYFUNCTION("""COMPUTED_VALUE"""),108385.0)</f>
        <v>108385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IFERROR(__xludf.DUMMYFUNCTION("""COMPUTED_VALUE"""),128.22)</f>
        <v>128.22</v>
      </c>
      <c r="C3126" s="1">
        <f>IFERROR(__xludf.DUMMYFUNCTION("""COMPUTED_VALUE"""),128.22)</f>
        <v>128.22</v>
      </c>
      <c r="D3126" s="1">
        <f>IFERROR(__xludf.DUMMYFUNCTION("""COMPUTED_VALUE"""),124.03)</f>
        <v>124.03</v>
      </c>
      <c r="E3126" s="1">
        <f>IFERROR(__xludf.DUMMYFUNCTION("""COMPUTED_VALUE"""),125.9)</f>
        <v>125.9</v>
      </c>
      <c r="F3126" s="1">
        <f>IFERROR(__xludf.DUMMYFUNCTION("""COMPUTED_VALUE"""),86923.0)</f>
        <v>86923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IFERROR(__xludf.DUMMYFUNCTION("""COMPUTED_VALUE"""),125.6)</f>
        <v>125.6</v>
      </c>
      <c r="C3127" s="1">
        <f>IFERROR(__xludf.DUMMYFUNCTION("""COMPUTED_VALUE"""),126.95)</f>
        <v>126.95</v>
      </c>
      <c r="D3127" s="1">
        <f>IFERROR(__xludf.DUMMYFUNCTION("""COMPUTED_VALUE"""),123.36)</f>
        <v>123.36</v>
      </c>
      <c r="E3127" s="1">
        <f>IFERROR(__xludf.DUMMYFUNCTION("""COMPUTED_VALUE"""),126.94)</f>
        <v>126.94</v>
      </c>
      <c r="F3127" s="1">
        <f>IFERROR(__xludf.DUMMYFUNCTION("""COMPUTED_VALUE"""),87366.0)</f>
        <v>87366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IFERROR(__xludf.DUMMYFUNCTION("""COMPUTED_VALUE"""),127.33)</f>
        <v>127.33</v>
      </c>
      <c r="C3128" s="1">
        <f>IFERROR(__xludf.DUMMYFUNCTION("""COMPUTED_VALUE"""),128.38)</f>
        <v>128.38</v>
      </c>
      <c r="D3128" s="1">
        <f>IFERROR(__xludf.DUMMYFUNCTION("""COMPUTED_VALUE"""),125.91)</f>
        <v>125.91</v>
      </c>
      <c r="E3128" s="1">
        <f>IFERROR(__xludf.DUMMYFUNCTION("""COMPUTED_VALUE"""),128.31)</f>
        <v>128.31</v>
      </c>
      <c r="F3128" s="1">
        <f>IFERROR(__xludf.DUMMYFUNCTION("""COMPUTED_VALUE"""),97222.0)</f>
        <v>97222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IFERROR(__xludf.DUMMYFUNCTION("""COMPUTED_VALUE"""),128.12)</f>
        <v>128.12</v>
      </c>
      <c r="C3129" s="1">
        <f>IFERROR(__xludf.DUMMYFUNCTION("""COMPUTED_VALUE"""),129.36)</f>
        <v>129.36</v>
      </c>
      <c r="D3129" s="1">
        <f>IFERROR(__xludf.DUMMYFUNCTION("""COMPUTED_VALUE"""),125.87)</f>
        <v>125.87</v>
      </c>
      <c r="E3129" s="1">
        <f>IFERROR(__xludf.DUMMYFUNCTION("""COMPUTED_VALUE"""),127.05)</f>
        <v>127.05</v>
      </c>
      <c r="F3129" s="1">
        <f>IFERROR(__xludf.DUMMYFUNCTION("""COMPUTED_VALUE"""),98861.0)</f>
        <v>98861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IFERROR(__xludf.DUMMYFUNCTION("""COMPUTED_VALUE"""),127.39)</f>
        <v>127.39</v>
      </c>
      <c r="C3130" s="1">
        <f>IFERROR(__xludf.DUMMYFUNCTION("""COMPUTED_VALUE"""),128.13)</f>
        <v>128.13</v>
      </c>
      <c r="D3130" s="1">
        <f>IFERROR(__xludf.DUMMYFUNCTION("""COMPUTED_VALUE"""),125.75)</f>
        <v>125.75</v>
      </c>
      <c r="E3130" s="1">
        <f>IFERROR(__xludf.DUMMYFUNCTION("""COMPUTED_VALUE"""),127.35)</f>
        <v>127.35</v>
      </c>
      <c r="F3130" s="1">
        <f>IFERROR(__xludf.DUMMYFUNCTION("""COMPUTED_VALUE"""),71320.0)</f>
        <v>71320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IFERROR(__xludf.DUMMYFUNCTION("""COMPUTED_VALUE"""),127.25)</f>
        <v>127.25</v>
      </c>
      <c r="C3131" s="1">
        <f>IFERROR(__xludf.DUMMYFUNCTION("""COMPUTED_VALUE"""),128.44)</f>
        <v>128.44</v>
      </c>
      <c r="D3131" s="1">
        <f>IFERROR(__xludf.DUMMYFUNCTION("""COMPUTED_VALUE"""),126.69)</f>
        <v>126.69</v>
      </c>
      <c r="E3131" s="1">
        <f>IFERROR(__xludf.DUMMYFUNCTION("""COMPUTED_VALUE"""),126.93)</f>
        <v>126.93</v>
      </c>
      <c r="F3131" s="1">
        <f>IFERROR(__xludf.DUMMYFUNCTION("""COMPUTED_VALUE"""),72087.0)</f>
        <v>72087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IFERROR(__xludf.DUMMYFUNCTION("""COMPUTED_VALUE"""),126.76)</f>
        <v>126.76</v>
      </c>
      <c r="C3132" s="1">
        <f>IFERROR(__xludf.DUMMYFUNCTION("""COMPUTED_VALUE"""),128.08)</f>
        <v>128.08</v>
      </c>
      <c r="D3132" s="1">
        <f>IFERROR(__xludf.DUMMYFUNCTION("""COMPUTED_VALUE"""),123.74)</f>
        <v>123.74</v>
      </c>
      <c r="E3132" s="1">
        <f>IFERROR(__xludf.DUMMYFUNCTION("""COMPUTED_VALUE"""),124.11)</f>
        <v>124.11</v>
      </c>
      <c r="F3132" s="1">
        <f>IFERROR(__xludf.DUMMYFUNCTION("""COMPUTED_VALUE"""),80852.0)</f>
        <v>80852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IFERROR(__xludf.DUMMYFUNCTION("""COMPUTED_VALUE"""),123.83)</f>
        <v>123.83</v>
      </c>
      <c r="C3133" s="1">
        <f>IFERROR(__xludf.DUMMYFUNCTION("""COMPUTED_VALUE"""),125.88)</f>
        <v>125.88</v>
      </c>
      <c r="D3133" s="1">
        <f>IFERROR(__xludf.DUMMYFUNCTION("""COMPUTED_VALUE"""),123.18)</f>
        <v>123.18</v>
      </c>
      <c r="E3133" s="1">
        <f>IFERROR(__xludf.DUMMYFUNCTION("""COMPUTED_VALUE"""),125.26)</f>
        <v>125.26</v>
      </c>
      <c r="F3133" s="1">
        <f>IFERROR(__xludf.DUMMYFUNCTION("""COMPUTED_VALUE"""),49993.0)</f>
        <v>49993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IFERROR(__xludf.DUMMYFUNCTION("""COMPUTED_VALUE"""),123.76)</f>
        <v>123.76</v>
      </c>
      <c r="C3134" s="1">
        <f>IFERROR(__xludf.DUMMYFUNCTION("""COMPUTED_VALUE"""),126.39)</f>
        <v>126.39</v>
      </c>
      <c r="D3134" s="1">
        <f>IFERROR(__xludf.DUMMYFUNCTION("""COMPUTED_VALUE"""),123.55)</f>
        <v>123.55</v>
      </c>
      <c r="E3134" s="1">
        <f>IFERROR(__xludf.DUMMYFUNCTION("""COMPUTED_VALUE"""),125.64)</f>
        <v>125.64</v>
      </c>
      <c r="F3134" s="1">
        <f>IFERROR(__xludf.DUMMYFUNCTION("""COMPUTED_VALUE"""),83344.0)</f>
        <v>83344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IFERROR(__xludf.DUMMYFUNCTION("""COMPUTED_VALUE"""),125.48)</f>
        <v>125.48</v>
      </c>
      <c r="C3135" s="1">
        <f>IFERROR(__xludf.DUMMYFUNCTION("""COMPUTED_VALUE"""),126.41)</f>
        <v>126.41</v>
      </c>
      <c r="D3135" s="1">
        <f>IFERROR(__xludf.DUMMYFUNCTION("""COMPUTED_VALUE"""),121.7)</f>
        <v>121.7</v>
      </c>
      <c r="E3135" s="1">
        <f>IFERROR(__xludf.DUMMYFUNCTION("""COMPUTED_VALUE"""),124.01)</f>
        <v>124.01</v>
      </c>
      <c r="F3135" s="1">
        <f>IFERROR(__xludf.DUMMYFUNCTION("""COMPUTED_VALUE"""),78481.0)</f>
        <v>78481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IFERROR(__xludf.DUMMYFUNCTION("""COMPUTED_VALUE"""),124.21)</f>
        <v>124.21</v>
      </c>
      <c r="C3136" s="1">
        <f>IFERROR(__xludf.DUMMYFUNCTION("""COMPUTED_VALUE"""),127.8)</f>
        <v>127.8</v>
      </c>
      <c r="D3136" s="1">
        <f>IFERROR(__xludf.DUMMYFUNCTION("""COMPUTED_VALUE"""),123.6)</f>
        <v>123.6</v>
      </c>
      <c r="E3136" s="1">
        <f>IFERROR(__xludf.DUMMYFUNCTION("""COMPUTED_VALUE"""),126.24)</f>
        <v>126.24</v>
      </c>
      <c r="F3136" s="1">
        <f>IFERROR(__xludf.DUMMYFUNCTION("""COMPUTED_VALUE"""),85593.0)</f>
        <v>85593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IFERROR(__xludf.DUMMYFUNCTION("""COMPUTED_VALUE"""),124.94)</f>
        <v>124.94</v>
      </c>
      <c r="C3137" s="1">
        <f>IFERROR(__xludf.DUMMYFUNCTION("""COMPUTED_VALUE"""),126.49)</f>
        <v>126.49</v>
      </c>
      <c r="D3137" s="1">
        <f>IFERROR(__xludf.DUMMYFUNCTION("""COMPUTED_VALUE"""),123.64)</f>
        <v>123.64</v>
      </c>
      <c r="E3137" s="1">
        <f>IFERROR(__xludf.DUMMYFUNCTION("""COMPUTED_VALUE"""),126.38)</f>
        <v>126.38</v>
      </c>
      <c r="F3137" s="1">
        <f>IFERROR(__xludf.DUMMYFUNCTION("""COMPUTED_VALUE"""),116740.0)</f>
        <v>116740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IFERROR(__xludf.DUMMYFUNCTION("""COMPUTED_VALUE"""),128.31)</f>
        <v>128.31</v>
      </c>
      <c r="C3138" s="1">
        <f>IFERROR(__xludf.DUMMYFUNCTION("""COMPUTED_VALUE"""),133.54)</f>
        <v>133.54</v>
      </c>
      <c r="D3138" s="1">
        <f>IFERROR(__xludf.DUMMYFUNCTION("""COMPUTED_VALUE"""),127.83)</f>
        <v>127.83</v>
      </c>
      <c r="E3138" s="1">
        <f>IFERROR(__xludf.DUMMYFUNCTION("""COMPUTED_VALUE"""),132.38)</f>
        <v>132.38</v>
      </c>
      <c r="F3138" s="1">
        <f>IFERROR(__xludf.DUMMYFUNCTION("""COMPUTED_VALUE"""),253595.0)</f>
        <v>253595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IFERROR(__xludf.DUMMYFUNCTION("""COMPUTED_VALUE"""),132.02)</f>
        <v>132.02</v>
      </c>
      <c r="C3139" s="1">
        <f>IFERROR(__xludf.DUMMYFUNCTION("""COMPUTED_VALUE"""),135.34)</f>
        <v>135.34</v>
      </c>
      <c r="D3139" s="1">
        <f>IFERROR(__xludf.DUMMYFUNCTION("""COMPUTED_VALUE"""),129.23)</f>
        <v>129.23</v>
      </c>
      <c r="E3139" s="1">
        <f>IFERROR(__xludf.DUMMYFUNCTION("""COMPUTED_VALUE"""),132.81)</f>
        <v>132.81</v>
      </c>
      <c r="F3139" s="1">
        <f>IFERROR(__xludf.DUMMYFUNCTION("""COMPUTED_VALUE"""),261132.0)</f>
        <v>261132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IFERROR(__xludf.DUMMYFUNCTION("""COMPUTED_VALUE"""),133.2)</f>
        <v>133.2</v>
      </c>
      <c r="C3140" s="1">
        <f>IFERROR(__xludf.DUMMYFUNCTION("""COMPUTED_VALUE"""),136.6)</f>
        <v>136.6</v>
      </c>
      <c r="D3140" s="1">
        <f>IFERROR(__xludf.DUMMYFUNCTION("""COMPUTED_VALUE"""),132.74)</f>
        <v>132.74</v>
      </c>
      <c r="E3140" s="1">
        <f>IFERROR(__xludf.DUMMYFUNCTION("""COMPUTED_VALUE"""),135.11)</f>
        <v>135.11</v>
      </c>
      <c r="F3140" s="1">
        <f>IFERROR(__xludf.DUMMYFUNCTION("""COMPUTED_VALUE"""),126671.0)</f>
        <v>126671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IFERROR(__xludf.DUMMYFUNCTION("""COMPUTED_VALUE"""),134.71)</f>
        <v>134.71</v>
      </c>
      <c r="C3141" s="1">
        <f>IFERROR(__xludf.DUMMYFUNCTION("""COMPUTED_VALUE"""),136.91)</f>
        <v>136.91</v>
      </c>
      <c r="D3141" s="1">
        <f>IFERROR(__xludf.DUMMYFUNCTION("""COMPUTED_VALUE"""),132.07)</f>
        <v>132.07</v>
      </c>
      <c r="E3141" s="1">
        <f>IFERROR(__xludf.DUMMYFUNCTION("""COMPUTED_VALUE"""),135.88)</f>
        <v>135.88</v>
      </c>
      <c r="F3141" s="1">
        <f>IFERROR(__xludf.DUMMYFUNCTION("""COMPUTED_VALUE"""),177521.0)</f>
        <v>177521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IFERROR(__xludf.DUMMYFUNCTION("""COMPUTED_VALUE"""),136.06)</f>
        <v>136.06</v>
      </c>
      <c r="C3142" s="1">
        <f>IFERROR(__xludf.DUMMYFUNCTION("""COMPUTED_VALUE"""),140.27)</f>
        <v>140.27</v>
      </c>
      <c r="D3142" s="1">
        <f>IFERROR(__xludf.DUMMYFUNCTION("""COMPUTED_VALUE"""),135.65)</f>
        <v>135.65</v>
      </c>
      <c r="E3142" s="1">
        <f>IFERROR(__xludf.DUMMYFUNCTION("""COMPUTED_VALUE"""),139.66)</f>
        <v>139.66</v>
      </c>
      <c r="F3142" s="1">
        <f>IFERROR(__xludf.DUMMYFUNCTION("""COMPUTED_VALUE"""),139516.0)</f>
        <v>139516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IFERROR(__xludf.DUMMYFUNCTION("""COMPUTED_VALUE"""),140.43)</f>
        <v>140.43</v>
      </c>
      <c r="C3143" s="1">
        <f>IFERROR(__xludf.DUMMYFUNCTION("""COMPUTED_VALUE"""),140.43)</f>
        <v>140.43</v>
      </c>
      <c r="D3143" s="1">
        <f>IFERROR(__xludf.DUMMYFUNCTION("""COMPUTED_VALUE"""),137.99)</f>
        <v>137.99</v>
      </c>
      <c r="E3143" s="1">
        <f>IFERROR(__xludf.DUMMYFUNCTION("""COMPUTED_VALUE"""),139.44)</f>
        <v>139.44</v>
      </c>
      <c r="F3143" s="1">
        <f>IFERROR(__xludf.DUMMYFUNCTION("""COMPUTED_VALUE"""),120846.0)</f>
        <v>120846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IFERROR(__xludf.DUMMYFUNCTION("""COMPUTED_VALUE"""),139.71)</f>
        <v>139.71</v>
      </c>
      <c r="C3144" s="1">
        <f>IFERROR(__xludf.DUMMYFUNCTION("""COMPUTED_VALUE"""),140.48)</f>
        <v>140.48</v>
      </c>
      <c r="D3144" s="1">
        <f>IFERROR(__xludf.DUMMYFUNCTION("""COMPUTED_VALUE"""),138.26)</f>
        <v>138.26</v>
      </c>
      <c r="E3144" s="1">
        <f>IFERROR(__xludf.DUMMYFUNCTION("""COMPUTED_VALUE"""),138.4)</f>
        <v>138.4</v>
      </c>
      <c r="F3144" s="1">
        <f>IFERROR(__xludf.DUMMYFUNCTION("""COMPUTED_VALUE"""),78033.0)</f>
        <v>78033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IFERROR(__xludf.DUMMYFUNCTION("""COMPUTED_VALUE"""),137.76)</f>
        <v>137.76</v>
      </c>
      <c r="C3145" s="1">
        <f>IFERROR(__xludf.DUMMYFUNCTION("""COMPUTED_VALUE"""),139.58)</f>
        <v>139.58</v>
      </c>
      <c r="D3145" s="1">
        <f>IFERROR(__xludf.DUMMYFUNCTION("""COMPUTED_VALUE"""),137.39)</f>
        <v>137.39</v>
      </c>
      <c r="E3145" s="1">
        <f>IFERROR(__xludf.DUMMYFUNCTION("""COMPUTED_VALUE"""),138.43)</f>
        <v>138.43</v>
      </c>
      <c r="F3145" s="1">
        <f>IFERROR(__xludf.DUMMYFUNCTION("""COMPUTED_VALUE"""),75779.0)</f>
        <v>75779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IFERROR(__xludf.DUMMYFUNCTION("""COMPUTED_VALUE"""),138.06)</f>
        <v>138.06</v>
      </c>
      <c r="C3146" s="1">
        <f>IFERROR(__xludf.DUMMYFUNCTION("""COMPUTED_VALUE"""),139.79)</f>
        <v>139.79</v>
      </c>
      <c r="D3146" s="1">
        <f>IFERROR(__xludf.DUMMYFUNCTION("""COMPUTED_VALUE"""),137.71)</f>
        <v>137.71</v>
      </c>
      <c r="E3146" s="1">
        <f>IFERROR(__xludf.DUMMYFUNCTION("""COMPUTED_VALUE"""),139.66)</f>
        <v>139.66</v>
      </c>
      <c r="F3146" s="1">
        <f>IFERROR(__xludf.DUMMYFUNCTION("""COMPUTED_VALUE"""),107292.0)</f>
        <v>107292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IFERROR(__xludf.DUMMYFUNCTION("""COMPUTED_VALUE"""),139.19)</f>
        <v>139.19</v>
      </c>
      <c r="C3147" s="1">
        <f>IFERROR(__xludf.DUMMYFUNCTION("""COMPUTED_VALUE"""),141.34)</f>
        <v>141.34</v>
      </c>
      <c r="D3147" s="1">
        <f>IFERROR(__xludf.DUMMYFUNCTION("""COMPUTED_VALUE"""),138.56)</f>
        <v>138.56</v>
      </c>
      <c r="E3147" s="1">
        <f>IFERROR(__xludf.DUMMYFUNCTION("""COMPUTED_VALUE"""),141.26)</f>
        <v>141.26</v>
      </c>
      <c r="F3147" s="1">
        <f>IFERROR(__xludf.DUMMYFUNCTION("""COMPUTED_VALUE"""),86125.0)</f>
        <v>86125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IFERROR(__xludf.DUMMYFUNCTION("""COMPUTED_VALUE"""),140.66)</f>
        <v>140.66</v>
      </c>
      <c r="C3148" s="1">
        <f>IFERROR(__xludf.DUMMYFUNCTION("""COMPUTED_VALUE"""),142.73)</f>
        <v>142.73</v>
      </c>
      <c r="D3148" s="1">
        <f>IFERROR(__xludf.DUMMYFUNCTION("""COMPUTED_VALUE"""),138.77)</f>
        <v>138.77</v>
      </c>
      <c r="E3148" s="1">
        <f>IFERROR(__xludf.DUMMYFUNCTION("""COMPUTED_VALUE"""),142.73)</f>
        <v>142.73</v>
      </c>
      <c r="F3148" s="1">
        <f>IFERROR(__xludf.DUMMYFUNCTION("""COMPUTED_VALUE"""),110848.0)</f>
        <v>110848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IFERROR(__xludf.DUMMYFUNCTION("""COMPUTED_VALUE"""),142.89)</f>
        <v>142.89</v>
      </c>
      <c r="C3149" s="1">
        <f>IFERROR(__xludf.DUMMYFUNCTION("""COMPUTED_VALUE"""),143.86)</f>
        <v>143.86</v>
      </c>
      <c r="D3149" s="1">
        <f>IFERROR(__xludf.DUMMYFUNCTION("""COMPUTED_VALUE"""),139.67)</f>
        <v>139.67</v>
      </c>
      <c r="E3149" s="1">
        <f>IFERROR(__xludf.DUMMYFUNCTION("""COMPUTED_VALUE"""),140.16)</f>
        <v>140.16</v>
      </c>
      <c r="F3149" s="1">
        <f>IFERROR(__xludf.DUMMYFUNCTION("""COMPUTED_VALUE"""),84613.0)</f>
        <v>84613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IFERROR(__xludf.DUMMYFUNCTION("""COMPUTED_VALUE"""),140.53)</f>
        <v>140.53</v>
      </c>
      <c r="C3150" s="1">
        <f>IFERROR(__xludf.DUMMYFUNCTION("""COMPUTED_VALUE"""),140.77)</f>
        <v>140.77</v>
      </c>
      <c r="D3150" s="1">
        <f>IFERROR(__xludf.DUMMYFUNCTION("""COMPUTED_VALUE"""),138.17)</f>
        <v>138.17</v>
      </c>
      <c r="E3150" s="1">
        <f>IFERROR(__xludf.DUMMYFUNCTION("""COMPUTED_VALUE"""),138.97)</f>
        <v>138.97</v>
      </c>
      <c r="F3150" s="1">
        <f>IFERROR(__xludf.DUMMYFUNCTION("""COMPUTED_VALUE"""),72155.0)</f>
        <v>72155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IFERROR(__xludf.DUMMYFUNCTION("""COMPUTED_VALUE"""),139.18)</f>
        <v>139.18</v>
      </c>
      <c r="C3151" s="1">
        <f>IFERROR(__xludf.DUMMYFUNCTION("""COMPUTED_VALUE"""),140.02)</f>
        <v>140.02</v>
      </c>
      <c r="D3151" s="1">
        <f>IFERROR(__xludf.DUMMYFUNCTION("""COMPUTED_VALUE"""),136.14)</f>
        <v>136.14</v>
      </c>
      <c r="E3151" s="1">
        <f>IFERROR(__xludf.DUMMYFUNCTION("""COMPUTED_VALUE"""),136.15)</f>
        <v>136.15</v>
      </c>
      <c r="F3151" s="1">
        <f>IFERROR(__xludf.DUMMYFUNCTION("""COMPUTED_VALUE"""),68244.0)</f>
        <v>68244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IFERROR(__xludf.DUMMYFUNCTION("""COMPUTED_VALUE"""),136.23)</f>
        <v>136.23</v>
      </c>
      <c r="C3152" s="1">
        <f>IFERROR(__xludf.DUMMYFUNCTION("""COMPUTED_VALUE"""),137.38)</f>
        <v>137.38</v>
      </c>
      <c r="D3152" s="1">
        <f>IFERROR(__xludf.DUMMYFUNCTION("""COMPUTED_VALUE"""),134.66)</f>
        <v>134.66</v>
      </c>
      <c r="E3152" s="1">
        <f>IFERROR(__xludf.DUMMYFUNCTION("""COMPUTED_VALUE"""),135.59)</f>
        <v>135.59</v>
      </c>
      <c r="F3152" s="1">
        <f>IFERROR(__xludf.DUMMYFUNCTION("""COMPUTED_VALUE"""),68592.0)</f>
        <v>68592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IFERROR(__xludf.DUMMYFUNCTION("""COMPUTED_VALUE"""),135.16)</f>
        <v>135.16</v>
      </c>
      <c r="C3153" s="1">
        <f>IFERROR(__xludf.DUMMYFUNCTION("""COMPUTED_VALUE"""),138.39)</f>
        <v>138.39</v>
      </c>
      <c r="D3153" s="1">
        <f>IFERROR(__xludf.DUMMYFUNCTION("""COMPUTED_VALUE"""),135.16)</f>
        <v>135.16</v>
      </c>
      <c r="E3153" s="1">
        <f>IFERROR(__xludf.DUMMYFUNCTION("""COMPUTED_VALUE"""),136.08)</f>
        <v>136.08</v>
      </c>
      <c r="F3153" s="1">
        <f>IFERROR(__xludf.DUMMYFUNCTION("""COMPUTED_VALUE"""),72261.0)</f>
        <v>72261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IFERROR(__xludf.DUMMYFUNCTION("""COMPUTED_VALUE"""),134.98)</f>
        <v>134.98</v>
      </c>
      <c r="C3154" s="1">
        <f>IFERROR(__xludf.DUMMYFUNCTION("""COMPUTED_VALUE"""),136.19)</f>
        <v>136.19</v>
      </c>
      <c r="D3154" s="1">
        <f>IFERROR(__xludf.DUMMYFUNCTION("""COMPUTED_VALUE"""),133.92)</f>
        <v>133.92</v>
      </c>
      <c r="E3154" s="1">
        <f>IFERROR(__xludf.DUMMYFUNCTION("""COMPUTED_VALUE"""),135.56)</f>
        <v>135.56</v>
      </c>
      <c r="F3154" s="1">
        <f>IFERROR(__xludf.DUMMYFUNCTION("""COMPUTED_VALUE"""),67030.0)</f>
        <v>67030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IFERROR(__xludf.DUMMYFUNCTION("""COMPUTED_VALUE"""),134.51)</f>
        <v>134.51</v>
      </c>
      <c r="C3155" s="1">
        <f>IFERROR(__xludf.DUMMYFUNCTION("""COMPUTED_VALUE"""),136.14)</f>
        <v>136.14</v>
      </c>
      <c r="D3155" s="1">
        <f>IFERROR(__xludf.DUMMYFUNCTION("""COMPUTED_VALUE"""),133.4)</f>
        <v>133.4</v>
      </c>
      <c r="E3155" s="1">
        <f>IFERROR(__xludf.DUMMYFUNCTION("""COMPUTED_VALUE"""),135.68)</f>
        <v>135.68</v>
      </c>
      <c r="F3155" s="1">
        <f>IFERROR(__xludf.DUMMYFUNCTION("""COMPUTED_VALUE"""),42526.0)</f>
        <v>42526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IFERROR(__xludf.DUMMYFUNCTION("""COMPUTED_VALUE"""),136.48)</f>
        <v>136.48</v>
      </c>
      <c r="C3156" s="1">
        <f>IFERROR(__xludf.DUMMYFUNCTION("""COMPUTED_VALUE"""),138.53)</f>
        <v>138.53</v>
      </c>
      <c r="D3156" s="1">
        <f>IFERROR(__xludf.DUMMYFUNCTION("""COMPUTED_VALUE"""),135.98)</f>
        <v>135.98</v>
      </c>
      <c r="E3156" s="1">
        <f>IFERROR(__xludf.DUMMYFUNCTION("""COMPUTED_VALUE"""),138.18)</f>
        <v>138.18</v>
      </c>
      <c r="F3156" s="1">
        <f>IFERROR(__xludf.DUMMYFUNCTION("""COMPUTED_VALUE"""),95204.0)</f>
        <v>95204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IFERROR(__xludf.DUMMYFUNCTION("""COMPUTED_VALUE"""),138.36)</f>
        <v>138.36</v>
      </c>
      <c r="C3157" s="1">
        <f>IFERROR(__xludf.DUMMYFUNCTION("""COMPUTED_VALUE"""),139.26)</f>
        <v>139.26</v>
      </c>
      <c r="D3157" s="1">
        <f>IFERROR(__xludf.DUMMYFUNCTION("""COMPUTED_VALUE"""),135.31)</f>
        <v>135.31</v>
      </c>
      <c r="E3157" s="1">
        <f>IFERROR(__xludf.DUMMYFUNCTION("""COMPUTED_VALUE"""),135.31)</f>
        <v>135.31</v>
      </c>
      <c r="F3157" s="1">
        <f>IFERROR(__xludf.DUMMYFUNCTION("""COMPUTED_VALUE"""),70677.0)</f>
        <v>70677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IFERROR(__xludf.DUMMYFUNCTION("""COMPUTED_VALUE"""),136.66)</f>
        <v>136.66</v>
      </c>
      <c r="C3158" s="1">
        <f>IFERROR(__xludf.DUMMYFUNCTION("""COMPUTED_VALUE"""),138.14)</f>
        <v>138.14</v>
      </c>
      <c r="D3158" s="1">
        <f>IFERROR(__xludf.DUMMYFUNCTION("""COMPUTED_VALUE"""),135.97)</f>
        <v>135.97</v>
      </c>
      <c r="E3158" s="1">
        <f>IFERROR(__xludf.DUMMYFUNCTION("""COMPUTED_VALUE"""),137.7)</f>
        <v>137.7</v>
      </c>
      <c r="F3158" s="1">
        <f>IFERROR(__xludf.DUMMYFUNCTION("""COMPUTED_VALUE"""),83221.0)</f>
        <v>83221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IFERROR(__xludf.DUMMYFUNCTION("""COMPUTED_VALUE"""),138.04)</f>
        <v>138.04</v>
      </c>
      <c r="C3159" s="1">
        <f>IFERROR(__xludf.DUMMYFUNCTION("""COMPUTED_VALUE"""),138.6)</f>
        <v>138.6</v>
      </c>
      <c r="D3159" s="1">
        <f>IFERROR(__xludf.DUMMYFUNCTION("""COMPUTED_VALUE"""),137.09)</f>
        <v>137.09</v>
      </c>
      <c r="E3159" s="1">
        <f>IFERROR(__xludf.DUMMYFUNCTION("""COMPUTED_VALUE"""),137.77)</f>
        <v>137.77</v>
      </c>
      <c r="F3159" s="1">
        <f>IFERROR(__xludf.DUMMYFUNCTION("""COMPUTED_VALUE"""),83727.0)</f>
        <v>83727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IFERROR(__xludf.DUMMYFUNCTION("""COMPUTED_VALUE"""),137.91)</f>
        <v>137.91</v>
      </c>
      <c r="C3160" s="1">
        <f>IFERROR(__xludf.DUMMYFUNCTION("""COMPUTED_VALUE"""),138.01)</f>
        <v>138.01</v>
      </c>
      <c r="D3160" s="1">
        <f>IFERROR(__xludf.DUMMYFUNCTION("""COMPUTED_VALUE"""),135.22)</f>
        <v>135.22</v>
      </c>
      <c r="E3160" s="1">
        <f>IFERROR(__xludf.DUMMYFUNCTION("""COMPUTED_VALUE"""),136.27)</f>
        <v>136.27</v>
      </c>
      <c r="F3160" s="1">
        <f>IFERROR(__xludf.DUMMYFUNCTION("""COMPUTED_VALUE"""),63382.0)</f>
        <v>63382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IFERROR(__xludf.DUMMYFUNCTION("""COMPUTED_VALUE"""),136.42)</f>
        <v>136.42</v>
      </c>
      <c r="C3161" s="1">
        <f>IFERROR(__xludf.DUMMYFUNCTION("""COMPUTED_VALUE"""),136.77)</f>
        <v>136.77</v>
      </c>
      <c r="D3161" s="1">
        <f>IFERROR(__xludf.DUMMYFUNCTION("""COMPUTED_VALUE"""),134.33)</f>
        <v>134.33</v>
      </c>
      <c r="E3161" s="1">
        <f>IFERROR(__xludf.DUMMYFUNCTION("""COMPUTED_VALUE"""),135.47)</f>
        <v>135.47</v>
      </c>
      <c r="F3161" s="1">
        <f>IFERROR(__xludf.DUMMYFUNCTION("""COMPUTED_VALUE"""),66994.0)</f>
        <v>66994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IFERROR(__xludf.DUMMYFUNCTION("""COMPUTED_VALUE"""),135.47)</f>
        <v>135.47</v>
      </c>
      <c r="C3162" s="1">
        <f>IFERROR(__xludf.DUMMYFUNCTION("""COMPUTED_VALUE"""),137.96)</f>
        <v>137.96</v>
      </c>
      <c r="D3162" s="1">
        <f>IFERROR(__xludf.DUMMYFUNCTION("""COMPUTED_VALUE"""),133.96)</f>
        <v>133.96</v>
      </c>
      <c r="E3162" s="1">
        <f>IFERROR(__xludf.DUMMYFUNCTION("""COMPUTED_VALUE"""),135.05)</f>
        <v>135.05</v>
      </c>
      <c r="F3162" s="1">
        <f>IFERROR(__xludf.DUMMYFUNCTION("""COMPUTED_VALUE"""),80057.0)</f>
        <v>80057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IFERROR(__xludf.DUMMYFUNCTION("""COMPUTED_VALUE"""),135.32)</f>
        <v>135.32</v>
      </c>
      <c r="C3163" s="1">
        <f>IFERROR(__xludf.DUMMYFUNCTION("""COMPUTED_VALUE"""),137.53)</f>
        <v>137.53</v>
      </c>
      <c r="D3163" s="1">
        <f>IFERROR(__xludf.DUMMYFUNCTION("""COMPUTED_VALUE"""),135.29)</f>
        <v>135.29</v>
      </c>
      <c r="E3163" s="1">
        <f>IFERROR(__xludf.DUMMYFUNCTION("""COMPUTED_VALUE"""),136.31)</f>
        <v>136.31</v>
      </c>
      <c r="F3163" s="1">
        <f>IFERROR(__xludf.DUMMYFUNCTION("""COMPUTED_VALUE"""),68312.0)</f>
        <v>68312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IFERROR(__xludf.DUMMYFUNCTION("""COMPUTED_VALUE"""),136.36)</f>
        <v>136.36</v>
      </c>
      <c r="C3164" s="1">
        <f>IFERROR(__xludf.DUMMYFUNCTION("""COMPUTED_VALUE"""),137.0)</f>
        <v>137</v>
      </c>
      <c r="D3164" s="1">
        <f>IFERROR(__xludf.DUMMYFUNCTION("""COMPUTED_VALUE"""),133.75)</f>
        <v>133.75</v>
      </c>
      <c r="E3164" s="1">
        <f>IFERROR(__xludf.DUMMYFUNCTION("""COMPUTED_VALUE"""),136.78)</f>
        <v>136.78</v>
      </c>
      <c r="F3164" s="1">
        <f>IFERROR(__xludf.DUMMYFUNCTION("""COMPUTED_VALUE"""),76483.0)</f>
        <v>76483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IFERROR(__xludf.DUMMYFUNCTION("""COMPUTED_VALUE"""),136.94)</f>
        <v>136.94</v>
      </c>
      <c r="C3165" s="1">
        <f>IFERROR(__xludf.DUMMYFUNCTION("""COMPUTED_VALUE"""),137.77)</f>
        <v>137.77</v>
      </c>
      <c r="D3165" s="1">
        <f>IFERROR(__xludf.DUMMYFUNCTION("""COMPUTED_VALUE"""),135.39)</f>
        <v>135.39</v>
      </c>
      <c r="E3165" s="1">
        <f>IFERROR(__xludf.DUMMYFUNCTION("""COMPUTED_VALUE"""),137.27)</f>
        <v>137.27</v>
      </c>
      <c r="F3165" s="1">
        <f>IFERROR(__xludf.DUMMYFUNCTION("""COMPUTED_VALUE"""),80806.0)</f>
        <v>80806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IFERROR(__xludf.DUMMYFUNCTION("""COMPUTED_VALUE"""),136.44)</f>
        <v>136.44</v>
      </c>
      <c r="C3166" s="1">
        <f>IFERROR(__xludf.DUMMYFUNCTION("""COMPUTED_VALUE"""),137.4)</f>
        <v>137.4</v>
      </c>
      <c r="D3166" s="1">
        <f>IFERROR(__xludf.DUMMYFUNCTION("""COMPUTED_VALUE"""),135.17)</f>
        <v>135.17</v>
      </c>
      <c r="E3166" s="1">
        <f>IFERROR(__xludf.DUMMYFUNCTION("""COMPUTED_VALUE"""),135.51)</f>
        <v>135.51</v>
      </c>
      <c r="F3166" s="1">
        <f>IFERROR(__xludf.DUMMYFUNCTION("""COMPUTED_VALUE"""),72778.0)</f>
        <v>72778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IFERROR(__xludf.DUMMYFUNCTION("""COMPUTED_VALUE"""),135.38)</f>
        <v>135.38</v>
      </c>
      <c r="C3167" s="1">
        <f>IFERROR(__xludf.DUMMYFUNCTION("""COMPUTED_VALUE"""),137.95)</f>
        <v>137.95</v>
      </c>
      <c r="D3167" s="1">
        <f>IFERROR(__xludf.DUMMYFUNCTION("""COMPUTED_VALUE"""),135.35)</f>
        <v>135.35</v>
      </c>
      <c r="E3167" s="1">
        <f>IFERROR(__xludf.DUMMYFUNCTION("""COMPUTED_VALUE"""),136.97)</f>
        <v>136.97</v>
      </c>
      <c r="F3167" s="1">
        <f>IFERROR(__xludf.DUMMYFUNCTION("""COMPUTED_VALUE"""),68026.0)</f>
        <v>68026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IFERROR(__xludf.DUMMYFUNCTION("""COMPUTED_VALUE"""),137.45)</f>
        <v>137.45</v>
      </c>
      <c r="C3168" s="1">
        <f>IFERROR(__xludf.DUMMYFUNCTION("""COMPUTED_VALUE"""),137.45)</f>
        <v>137.45</v>
      </c>
      <c r="D3168" s="1">
        <f>IFERROR(__xludf.DUMMYFUNCTION("""COMPUTED_VALUE"""),134.72)</f>
        <v>134.72</v>
      </c>
      <c r="E3168" s="1">
        <f>IFERROR(__xludf.DUMMYFUNCTION("""COMPUTED_VALUE"""),134.72)</f>
        <v>134.72</v>
      </c>
      <c r="F3168" s="1">
        <f>IFERROR(__xludf.DUMMYFUNCTION("""COMPUTED_VALUE"""),74355.0)</f>
        <v>74355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IFERROR(__xludf.DUMMYFUNCTION("""COMPUTED_VALUE"""),133.75)</f>
        <v>133.75</v>
      </c>
      <c r="C3169" s="1">
        <f>IFERROR(__xludf.DUMMYFUNCTION("""COMPUTED_VALUE"""),138.0)</f>
        <v>138</v>
      </c>
      <c r="D3169" s="1">
        <f>IFERROR(__xludf.DUMMYFUNCTION("""COMPUTED_VALUE"""),132.04)</f>
        <v>132.04</v>
      </c>
      <c r="E3169" s="1">
        <f>IFERROR(__xludf.DUMMYFUNCTION("""COMPUTED_VALUE"""),136.98)</f>
        <v>136.98</v>
      </c>
      <c r="F3169" s="1">
        <f>IFERROR(__xludf.DUMMYFUNCTION("""COMPUTED_VALUE"""),171848.0)</f>
        <v>171848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IFERROR(__xludf.DUMMYFUNCTION("""COMPUTED_VALUE"""),137.0)</f>
        <v>137</v>
      </c>
      <c r="C3170" s="1">
        <f>IFERROR(__xludf.DUMMYFUNCTION("""COMPUTED_VALUE"""),140.41)</f>
        <v>140.41</v>
      </c>
      <c r="D3170" s="1">
        <f>IFERROR(__xludf.DUMMYFUNCTION("""COMPUTED_VALUE"""),137.0)</f>
        <v>137</v>
      </c>
      <c r="E3170" s="1">
        <f>IFERROR(__xludf.DUMMYFUNCTION("""COMPUTED_VALUE"""),140.41)</f>
        <v>140.41</v>
      </c>
      <c r="F3170" s="1">
        <f>IFERROR(__xludf.DUMMYFUNCTION("""COMPUTED_VALUE"""),135524.0)</f>
        <v>135524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IFERROR(__xludf.DUMMYFUNCTION("""COMPUTED_VALUE"""),140.1)</f>
        <v>140.1</v>
      </c>
      <c r="C3171" s="1">
        <f>IFERROR(__xludf.DUMMYFUNCTION("""COMPUTED_VALUE"""),141.85)</f>
        <v>141.85</v>
      </c>
      <c r="D3171" s="1">
        <f>IFERROR(__xludf.DUMMYFUNCTION("""COMPUTED_VALUE"""),137.58)</f>
        <v>137.58</v>
      </c>
      <c r="E3171" s="1">
        <f>IFERROR(__xludf.DUMMYFUNCTION("""COMPUTED_VALUE"""),141.73)</f>
        <v>141.73</v>
      </c>
      <c r="F3171" s="1">
        <f>IFERROR(__xludf.DUMMYFUNCTION("""COMPUTED_VALUE"""),72514.0)</f>
        <v>72514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IFERROR(__xludf.DUMMYFUNCTION("""COMPUTED_VALUE"""),142.15)</f>
        <v>142.15</v>
      </c>
      <c r="C3172" s="1">
        <f>IFERROR(__xludf.DUMMYFUNCTION("""COMPUTED_VALUE"""),143.43)</f>
        <v>143.43</v>
      </c>
      <c r="D3172" s="1">
        <f>IFERROR(__xludf.DUMMYFUNCTION("""COMPUTED_VALUE"""),139.73)</f>
        <v>139.73</v>
      </c>
      <c r="E3172" s="1">
        <f>IFERROR(__xludf.DUMMYFUNCTION("""COMPUTED_VALUE"""),140.03)</f>
        <v>140.03</v>
      </c>
      <c r="F3172" s="1">
        <f>IFERROR(__xludf.DUMMYFUNCTION("""COMPUTED_VALUE"""),85593.0)</f>
        <v>85593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IFERROR(__xludf.DUMMYFUNCTION("""COMPUTED_VALUE"""),140.03)</f>
        <v>140.03</v>
      </c>
      <c r="C3173" s="1">
        <f>IFERROR(__xludf.DUMMYFUNCTION("""COMPUTED_VALUE"""),142.73)</f>
        <v>142.73</v>
      </c>
      <c r="D3173" s="1">
        <f>IFERROR(__xludf.DUMMYFUNCTION("""COMPUTED_VALUE"""),138.67)</f>
        <v>138.67</v>
      </c>
      <c r="E3173" s="1">
        <f>IFERROR(__xludf.DUMMYFUNCTION("""COMPUTED_VALUE"""),141.88)</f>
        <v>141.88</v>
      </c>
      <c r="F3173" s="1">
        <f>IFERROR(__xludf.DUMMYFUNCTION("""COMPUTED_VALUE"""),94719.0)</f>
        <v>94719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IFERROR(__xludf.DUMMYFUNCTION("""COMPUTED_VALUE"""),142.38)</f>
        <v>142.38</v>
      </c>
      <c r="C3174" s="1">
        <f>IFERROR(__xludf.DUMMYFUNCTION("""COMPUTED_VALUE"""),143.69)</f>
        <v>143.69</v>
      </c>
      <c r="D3174" s="1">
        <f>IFERROR(__xludf.DUMMYFUNCTION("""COMPUTED_VALUE"""),142.15)</f>
        <v>142.15</v>
      </c>
      <c r="E3174" s="1">
        <f>IFERROR(__xludf.DUMMYFUNCTION("""COMPUTED_VALUE"""),143.51)</f>
        <v>143.51</v>
      </c>
      <c r="F3174" s="1">
        <f>IFERROR(__xludf.DUMMYFUNCTION("""COMPUTED_VALUE"""),72655.0)</f>
        <v>72655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IFERROR(__xludf.DUMMYFUNCTION("""COMPUTED_VALUE"""),143.5)</f>
        <v>143.5</v>
      </c>
      <c r="C3175" s="1">
        <f>IFERROR(__xludf.DUMMYFUNCTION("""COMPUTED_VALUE"""),145.44)</f>
        <v>145.44</v>
      </c>
      <c r="D3175" s="1">
        <f>IFERROR(__xludf.DUMMYFUNCTION("""COMPUTED_VALUE"""),143.5)</f>
        <v>143.5</v>
      </c>
      <c r="E3175" s="1">
        <f>IFERROR(__xludf.DUMMYFUNCTION("""COMPUTED_VALUE"""),144.4)</f>
        <v>144.4</v>
      </c>
      <c r="F3175" s="1">
        <f>IFERROR(__xludf.DUMMYFUNCTION("""COMPUTED_VALUE"""),62124.0)</f>
        <v>62124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IFERROR(__xludf.DUMMYFUNCTION("""COMPUTED_VALUE"""),145.83)</f>
        <v>145.83</v>
      </c>
      <c r="C3176" s="1">
        <f>IFERROR(__xludf.DUMMYFUNCTION("""COMPUTED_VALUE"""),148.69)</f>
        <v>148.69</v>
      </c>
      <c r="D3176" s="1">
        <f>IFERROR(__xludf.DUMMYFUNCTION("""COMPUTED_VALUE"""),144.55)</f>
        <v>144.55</v>
      </c>
      <c r="E3176" s="1">
        <f>IFERROR(__xludf.DUMMYFUNCTION("""COMPUTED_VALUE"""),148.64)</f>
        <v>148.64</v>
      </c>
      <c r="F3176" s="1">
        <f>IFERROR(__xludf.DUMMYFUNCTION("""COMPUTED_VALUE"""),69267.0)</f>
        <v>69267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IFERROR(__xludf.DUMMYFUNCTION("""COMPUTED_VALUE"""),147.31)</f>
        <v>147.31</v>
      </c>
      <c r="C3177" s="1">
        <f>IFERROR(__xludf.DUMMYFUNCTION("""COMPUTED_VALUE"""),154.48)</f>
        <v>154.48</v>
      </c>
      <c r="D3177" s="1">
        <f>IFERROR(__xludf.DUMMYFUNCTION("""COMPUTED_VALUE"""),146.81)</f>
        <v>146.81</v>
      </c>
      <c r="E3177" s="1">
        <f>IFERROR(__xludf.DUMMYFUNCTION("""COMPUTED_VALUE"""),154.3)</f>
        <v>154.3</v>
      </c>
      <c r="F3177" s="1">
        <f>IFERROR(__xludf.DUMMYFUNCTION("""COMPUTED_VALUE"""),80635.0)</f>
        <v>80635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IFERROR(__xludf.DUMMYFUNCTION("""COMPUTED_VALUE"""),155.03)</f>
        <v>155.03</v>
      </c>
      <c r="C3178" s="1">
        <f>IFERROR(__xludf.DUMMYFUNCTION("""COMPUTED_VALUE"""),157.8)</f>
        <v>157.8</v>
      </c>
      <c r="D3178" s="1">
        <f>IFERROR(__xludf.DUMMYFUNCTION("""COMPUTED_VALUE"""),154.88)</f>
        <v>154.88</v>
      </c>
      <c r="E3178" s="1">
        <f>IFERROR(__xludf.DUMMYFUNCTION("""COMPUTED_VALUE"""),157.79)</f>
        <v>157.79</v>
      </c>
      <c r="F3178" s="1">
        <f>IFERROR(__xludf.DUMMYFUNCTION("""COMPUTED_VALUE"""),74500.0)</f>
        <v>74500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IFERROR(__xludf.DUMMYFUNCTION("""COMPUTED_VALUE"""),158.09)</f>
        <v>158.09</v>
      </c>
      <c r="C3179" s="1">
        <f>IFERROR(__xludf.DUMMYFUNCTION("""COMPUTED_VALUE"""),159.27)</f>
        <v>159.27</v>
      </c>
      <c r="D3179" s="1">
        <f>IFERROR(__xludf.DUMMYFUNCTION("""COMPUTED_VALUE"""),157.1)</f>
        <v>157.1</v>
      </c>
      <c r="E3179" s="1">
        <f>IFERROR(__xludf.DUMMYFUNCTION("""COMPUTED_VALUE"""),157.94)</f>
        <v>157.94</v>
      </c>
      <c r="F3179" s="1">
        <f>IFERROR(__xludf.DUMMYFUNCTION("""COMPUTED_VALUE"""),75406.0)</f>
        <v>75406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IFERROR(__xludf.DUMMYFUNCTION("""COMPUTED_VALUE"""),158.0)</f>
        <v>158</v>
      </c>
      <c r="C3180" s="1">
        <f>IFERROR(__xludf.DUMMYFUNCTION("""COMPUTED_VALUE"""),158.0)</f>
        <v>158</v>
      </c>
      <c r="D3180" s="1">
        <f>IFERROR(__xludf.DUMMYFUNCTION("""COMPUTED_VALUE"""),154.16)</f>
        <v>154.16</v>
      </c>
      <c r="E3180" s="1">
        <f>IFERROR(__xludf.DUMMYFUNCTION("""COMPUTED_VALUE"""),156.7)</f>
        <v>156.7</v>
      </c>
      <c r="F3180" s="1">
        <f>IFERROR(__xludf.DUMMYFUNCTION("""COMPUTED_VALUE"""),72146.0)</f>
        <v>72146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IFERROR(__xludf.DUMMYFUNCTION("""COMPUTED_VALUE"""),156.5)</f>
        <v>156.5</v>
      </c>
      <c r="C3181" s="1">
        <f>IFERROR(__xludf.DUMMYFUNCTION("""COMPUTED_VALUE"""),157.15)</f>
        <v>157.15</v>
      </c>
      <c r="D3181" s="1">
        <f>IFERROR(__xludf.DUMMYFUNCTION("""COMPUTED_VALUE"""),154.59)</f>
        <v>154.59</v>
      </c>
      <c r="E3181" s="1">
        <f>IFERROR(__xludf.DUMMYFUNCTION("""COMPUTED_VALUE"""),155.42)</f>
        <v>155.42</v>
      </c>
      <c r="F3181" s="1">
        <f>IFERROR(__xludf.DUMMYFUNCTION("""COMPUTED_VALUE"""),77835.0)</f>
        <v>77835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IFERROR(__xludf.DUMMYFUNCTION("""COMPUTED_VALUE"""),155.01)</f>
        <v>155.01</v>
      </c>
      <c r="C3182" s="1">
        <f>IFERROR(__xludf.DUMMYFUNCTION("""COMPUTED_VALUE"""),155.59)</f>
        <v>155.59</v>
      </c>
      <c r="D3182" s="1">
        <f>IFERROR(__xludf.DUMMYFUNCTION("""COMPUTED_VALUE"""),152.53)</f>
        <v>152.53</v>
      </c>
      <c r="E3182" s="1">
        <f>IFERROR(__xludf.DUMMYFUNCTION("""COMPUTED_VALUE"""),153.6)</f>
        <v>153.6</v>
      </c>
      <c r="F3182" s="1">
        <f>IFERROR(__xludf.DUMMYFUNCTION("""COMPUTED_VALUE"""),69004.0)</f>
        <v>69004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IFERROR(__xludf.DUMMYFUNCTION("""COMPUTED_VALUE"""),152.83)</f>
        <v>152.83</v>
      </c>
      <c r="C3183" s="1">
        <f>IFERROR(__xludf.DUMMYFUNCTION("""COMPUTED_VALUE"""),152.84)</f>
        <v>152.84</v>
      </c>
      <c r="D3183" s="1">
        <f>IFERROR(__xludf.DUMMYFUNCTION("""COMPUTED_VALUE"""),150.31)</f>
        <v>150.31</v>
      </c>
      <c r="E3183" s="1">
        <f>IFERROR(__xludf.DUMMYFUNCTION("""COMPUTED_VALUE"""),150.72)</f>
        <v>150.72</v>
      </c>
      <c r="F3183" s="1">
        <f>IFERROR(__xludf.DUMMYFUNCTION("""COMPUTED_VALUE"""),56735.0)</f>
        <v>56735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IFERROR(__xludf.DUMMYFUNCTION("""COMPUTED_VALUE"""),150.47)</f>
        <v>150.47</v>
      </c>
      <c r="C3184" s="1">
        <f>IFERROR(__xludf.DUMMYFUNCTION("""COMPUTED_VALUE"""),153.83)</f>
        <v>153.83</v>
      </c>
      <c r="D3184" s="1">
        <f>IFERROR(__xludf.DUMMYFUNCTION("""COMPUTED_VALUE"""),150.09)</f>
        <v>150.09</v>
      </c>
      <c r="E3184" s="1">
        <f>IFERROR(__xludf.DUMMYFUNCTION("""COMPUTED_VALUE"""),153.32)</f>
        <v>153.32</v>
      </c>
      <c r="F3184" s="1">
        <f>IFERROR(__xludf.DUMMYFUNCTION("""COMPUTED_VALUE"""),84192.0)</f>
        <v>84192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IFERROR(__xludf.DUMMYFUNCTION("""COMPUTED_VALUE"""),153.79)</f>
        <v>153.79</v>
      </c>
      <c r="C3185" s="1">
        <f>IFERROR(__xludf.DUMMYFUNCTION("""COMPUTED_VALUE"""),155.42)</f>
        <v>155.42</v>
      </c>
      <c r="D3185" s="1">
        <f>IFERROR(__xludf.DUMMYFUNCTION("""COMPUTED_VALUE"""),152.88)</f>
        <v>152.88</v>
      </c>
      <c r="E3185" s="1">
        <f>IFERROR(__xludf.DUMMYFUNCTION("""COMPUTED_VALUE"""),154.39)</f>
        <v>154.39</v>
      </c>
      <c r="F3185" s="1">
        <f>IFERROR(__xludf.DUMMYFUNCTION("""COMPUTED_VALUE"""),85049.0)</f>
        <v>85049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IFERROR(__xludf.DUMMYFUNCTION("""COMPUTED_VALUE"""),155.15)</f>
        <v>155.15</v>
      </c>
      <c r="C3186" s="1">
        <f>IFERROR(__xludf.DUMMYFUNCTION("""COMPUTED_VALUE"""),155.22)</f>
        <v>155.22</v>
      </c>
      <c r="D3186" s="1">
        <f>IFERROR(__xludf.DUMMYFUNCTION("""COMPUTED_VALUE"""),153.2)</f>
        <v>153.2</v>
      </c>
      <c r="E3186" s="1">
        <f>IFERROR(__xludf.DUMMYFUNCTION("""COMPUTED_VALUE"""),154.43)</f>
        <v>154.43</v>
      </c>
      <c r="F3186" s="1">
        <f>IFERROR(__xludf.DUMMYFUNCTION("""COMPUTED_VALUE"""),61542.0)</f>
        <v>61542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IFERROR(__xludf.DUMMYFUNCTION("""COMPUTED_VALUE"""),153.23)</f>
        <v>153.23</v>
      </c>
      <c r="C3187" s="1">
        <f>IFERROR(__xludf.DUMMYFUNCTION("""COMPUTED_VALUE"""),154.7)</f>
        <v>154.7</v>
      </c>
      <c r="D3187" s="1">
        <f>IFERROR(__xludf.DUMMYFUNCTION("""COMPUTED_VALUE"""),152.49)</f>
        <v>152.49</v>
      </c>
      <c r="E3187" s="1">
        <f>IFERROR(__xludf.DUMMYFUNCTION("""COMPUTED_VALUE"""),154.22)</f>
        <v>154.22</v>
      </c>
      <c r="F3187" s="1">
        <f>IFERROR(__xludf.DUMMYFUNCTION("""COMPUTED_VALUE"""),45368.0)</f>
        <v>45368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IFERROR(__xludf.DUMMYFUNCTION("""COMPUTED_VALUE"""),153.82)</f>
        <v>153.82</v>
      </c>
      <c r="C3188" s="1">
        <f>IFERROR(__xludf.DUMMYFUNCTION("""COMPUTED_VALUE"""),154.57)</f>
        <v>154.57</v>
      </c>
      <c r="D3188" s="1">
        <f>IFERROR(__xludf.DUMMYFUNCTION("""COMPUTED_VALUE"""),150.05)</f>
        <v>150.05</v>
      </c>
      <c r="E3188" s="1">
        <f>IFERROR(__xludf.DUMMYFUNCTION("""COMPUTED_VALUE"""),150.57)</f>
        <v>150.57</v>
      </c>
      <c r="F3188" s="1">
        <f>IFERROR(__xludf.DUMMYFUNCTION("""COMPUTED_VALUE"""),52030.0)</f>
        <v>52030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IFERROR(__xludf.DUMMYFUNCTION("""COMPUTED_VALUE"""),151.28)</f>
        <v>151.28</v>
      </c>
      <c r="C3189" s="1">
        <f>IFERROR(__xludf.DUMMYFUNCTION("""COMPUTED_VALUE"""),151.41)</f>
        <v>151.41</v>
      </c>
      <c r="D3189" s="1">
        <f>IFERROR(__xludf.DUMMYFUNCTION("""COMPUTED_VALUE"""),148.88)</f>
        <v>148.88</v>
      </c>
      <c r="E3189" s="1">
        <f>IFERROR(__xludf.DUMMYFUNCTION("""COMPUTED_VALUE"""),149.03)</f>
        <v>149.03</v>
      </c>
      <c r="F3189" s="1">
        <f>IFERROR(__xludf.DUMMYFUNCTION("""COMPUTED_VALUE"""),71560.0)</f>
        <v>71560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IFERROR(__xludf.DUMMYFUNCTION("""COMPUTED_VALUE"""),147.91)</f>
        <v>147.91</v>
      </c>
      <c r="C3190" s="1">
        <f>IFERROR(__xludf.DUMMYFUNCTION("""COMPUTED_VALUE"""),148.37)</f>
        <v>148.37</v>
      </c>
      <c r="D3190" s="1">
        <f>IFERROR(__xludf.DUMMYFUNCTION("""COMPUTED_VALUE"""),146.24)</f>
        <v>146.24</v>
      </c>
      <c r="E3190" s="1">
        <f>IFERROR(__xludf.DUMMYFUNCTION("""COMPUTED_VALUE"""),147.81)</f>
        <v>147.81</v>
      </c>
      <c r="F3190" s="1">
        <f>IFERROR(__xludf.DUMMYFUNCTION("""COMPUTED_VALUE"""),70264.0)</f>
        <v>70264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IFERROR(__xludf.DUMMYFUNCTION("""COMPUTED_VALUE"""),148.12)</f>
        <v>148.12</v>
      </c>
      <c r="C3191" s="1">
        <f>IFERROR(__xludf.DUMMYFUNCTION("""COMPUTED_VALUE"""),148.67)</f>
        <v>148.67</v>
      </c>
      <c r="D3191" s="1">
        <f>IFERROR(__xludf.DUMMYFUNCTION("""COMPUTED_VALUE"""),144.21)</f>
        <v>144.21</v>
      </c>
      <c r="E3191" s="1">
        <f>IFERROR(__xludf.DUMMYFUNCTION("""COMPUTED_VALUE"""),144.51)</f>
        <v>144.51</v>
      </c>
      <c r="F3191" s="1">
        <f>IFERROR(__xludf.DUMMYFUNCTION("""COMPUTED_VALUE"""),68020.0)</f>
        <v>68020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IFERROR(__xludf.DUMMYFUNCTION("""COMPUTED_VALUE"""),143.85)</f>
        <v>143.85</v>
      </c>
      <c r="C3192" s="1">
        <f>IFERROR(__xludf.DUMMYFUNCTION("""COMPUTED_VALUE"""),143.85)</f>
        <v>143.85</v>
      </c>
      <c r="D3192" s="1">
        <f>IFERROR(__xludf.DUMMYFUNCTION("""COMPUTED_VALUE"""),138.88)</f>
        <v>138.88</v>
      </c>
      <c r="E3192" s="1">
        <f>IFERROR(__xludf.DUMMYFUNCTION("""COMPUTED_VALUE"""),140.65)</f>
        <v>140.65</v>
      </c>
      <c r="F3192" s="1">
        <f>IFERROR(__xludf.DUMMYFUNCTION("""COMPUTED_VALUE"""),101075.0)</f>
        <v>101075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IFERROR(__xludf.DUMMYFUNCTION("""COMPUTED_VALUE"""),141.31)</f>
        <v>141.31</v>
      </c>
      <c r="C3193" s="1">
        <f>IFERROR(__xludf.DUMMYFUNCTION("""COMPUTED_VALUE"""),143.81)</f>
        <v>143.81</v>
      </c>
      <c r="D3193" s="1">
        <f>IFERROR(__xludf.DUMMYFUNCTION("""COMPUTED_VALUE"""),139.94)</f>
        <v>139.94</v>
      </c>
      <c r="E3193" s="1">
        <f>IFERROR(__xludf.DUMMYFUNCTION("""COMPUTED_VALUE"""),143.63)</f>
        <v>143.63</v>
      </c>
      <c r="F3193" s="1">
        <f>IFERROR(__xludf.DUMMYFUNCTION("""COMPUTED_VALUE"""),95912.0)</f>
        <v>95912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IFERROR(__xludf.DUMMYFUNCTION("""COMPUTED_VALUE"""),142.76)</f>
        <v>142.76</v>
      </c>
      <c r="C3194" s="1">
        <f>IFERROR(__xludf.DUMMYFUNCTION("""COMPUTED_VALUE"""),143.22)</f>
        <v>143.22</v>
      </c>
      <c r="D3194" s="1">
        <f>IFERROR(__xludf.DUMMYFUNCTION("""COMPUTED_VALUE"""),141.1)</f>
        <v>141.1</v>
      </c>
      <c r="E3194" s="1">
        <f>IFERROR(__xludf.DUMMYFUNCTION("""COMPUTED_VALUE"""),142.77)</f>
        <v>142.77</v>
      </c>
      <c r="F3194" s="1">
        <f>IFERROR(__xludf.DUMMYFUNCTION("""COMPUTED_VALUE"""),45795.0)</f>
        <v>45795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IFERROR(__xludf.DUMMYFUNCTION("""COMPUTED_VALUE"""),142.62)</f>
        <v>142.62</v>
      </c>
      <c r="C3195" s="1">
        <f>IFERROR(__xludf.DUMMYFUNCTION("""COMPUTED_VALUE"""),146.72)</f>
        <v>146.72</v>
      </c>
      <c r="D3195" s="1">
        <f>IFERROR(__xludf.DUMMYFUNCTION("""COMPUTED_VALUE"""),142.48)</f>
        <v>142.48</v>
      </c>
      <c r="E3195" s="1">
        <f>IFERROR(__xludf.DUMMYFUNCTION("""COMPUTED_VALUE"""),146.01)</f>
        <v>146.01</v>
      </c>
      <c r="F3195" s="1">
        <f>IFERROR(__xludf.DUMMYFUNCTION("""COMPUTED_VALUE"""),52190.0)</f>
        <v>52190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IFERROR(__xludf.DUMMYFUNCTION("""COMPUTED_VALUE"""),146.02)</f>
        <v>146.02</v>
      </c>
      <c r="C3196" s="1">
        <f>IFERROR(__xludf.DUMMYFUNCTION("""COMPUTED_VALUE"""),147.65)</f>
        <v>147.65</v>
      </c>
      <c r="D3196" s="1">
        <f>IFERROR(__xludf.DUMMYFUNCTION("""COMPUTED_VALUE"""),146.02)</f>
        <v>146.02</v>
      </c>
      <c r="E3196" s="1">
        <f>IFERROR(__xludf.DUMMYFUNCTION("""COMPUTED_VALUE"""),146.34)</f>
        <v>146.34</v>
      </c>
      <c r="F3196" s="1">
        <f>IFERROR(__xludf.DUMMYFUNCTION("""COMPUTED_VALUE"""),38617.0)</f>
        <v>38617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IFERROR(__xludf.DUMMYFUNCTION("""COMPUTED_VALUE"""),144.7)</f>
        <v>144.7</v>
      </c>
      <c r="C3197" s="1">
        <f>IFERROR(__xludf.DUMMYFUNCTION("""COMPUTED_VALUE"""),144.73)</f>
        <v>144.73</v>
      </c>
      <c r="D3197" s="1">
        <f>IFERROR(__xludf.DUMMYFUNCTION("""COMPUTED_VALUE"""),141.57)</f>
        <v>141.57</v>
      </c>
      <c r="E3197" s="1">
        <f>IFERROR(__xludf.DUMMYFUNCTION("""COMPUTED_VALUE"""),142.11)</f>
        <v>142.11</v>
      </c>
      <c r="F3197" s="1">
        <f>IFERROR(__xludf.DUMMYFUNCTION("""COMPUTED_VALUE"""),67614.0)</f>
        <v>67614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IFERROR(__xludf.DUMMYFUNCTION("""COMPUTED_VALUE"""),142.71)</f>
        <v>142.71</v>
      </c>
      <c r="C3198" s="1">
        <f>IFERROR(__xludf.DUMMYFUNCTION("""COMPUTED_VALUE"""),143.71)</f>
        <v>143.71</v>
      </c>
      <c r="D3198" s="1">
        <f>IFERROR(__xludf.DUMMYFUNCTION("""COMPUTED_VALUE"""),140.82)</f>
        <v>140.82</v>
      </c>
      <c r="E3198" s="1">
        <f>IFERROR(__xludf.DUMMYFUNCTION("""COMPUTED_VALUE"""),141.49)</f>
        <v>141.49</v>
      </c>
      <c r="F3198" s="1">
        <f>IFERROR(__xludf.DUMMYFUNCTION("""COMPUTED_VALUE"""),73594.0)</f>
        <v>73594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IFERROR(__xludf.DUMMYFUNCTION("""COMPUTED_VALUE"""),140.89)</f>
        <v>140.89</v>
      </c>
      <c r="C3199" s="1">
        <f>IFERROR(__xludf.DUMMYFUNCTION("""COMPUTED_VALUE"""),141.0)</f>
        <v>141</v>
      </c>
      <c r="D3199" s="1">
        <f>IFERROR(__xludf.DUMMYFUNCTION("""COMPUTED_VALUE"""),137.94)</f>
        <v>137.94</v>
      </c>
      <c r="E3199" s="1">
        <f>IFERROR(__xludf.DUMMYFUNCTION("""COMPUTED_VALUE"""),139.41)</f>
        <v>139.41</v>
      </c>
      <c r="F3199" s="1">
        <f>IFERROR(__xludf.DUMMYFUNCTION("""COMPUTED_VALUE"""),92274.0)</f>
        <v>92274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IFERROR(__xludf.DUMMYFUNCTION("""COMPUTED_VALUE"""),137.87)</f>
        <v>137.87</v>
      </c>
      <c r="C3200" s="1">
        <f>IFERROR(__xludf.DUMMYFUNCTION("""COMPUTED_VALUE"""),140.24)</f>
        <v>140.24</v>
      </c>
      <c r="D3200" s="1">
        <f>IFERROR(__xludf.DUMMYFUNCTION("""COMPUTED_VALUE"""),136.65)</f>
        <v>136.65</v>
      </c>
      <c r="E3200" s="1">
        <f>IFERROR(__xludf.DUMMYFUNCTION("""COMPUTED_VALUE"""),138.52)</f>
        <v>138.52</v>
      </c>
      <c r="F3200" s="1">
        <f>IFERROR(__xludf.DUMMYFUNCTION("""COMPUTED_VALUE"""),157806.0)</f>
        <v>157806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IFERROR(__xludf.DUMMYFUNCTION("""COMPUTED_VALUE"""),138.52)</f>
        <v>138.52</v>
      </c>
      <c r="C3201" s="1">
        <f>IFERROR(__xludf.DUMMYFUNCTION("""COMPUTED_VALUE"""),140.92)</f>
        <v>140.92</v>
      </c>
      <c r="D3201" s="1">
        <f>IFERROR(__xludf.DUMMYFUNCTION("""COMPUTED_VALUE"""),138.3)</f>
        <v>138.3</v>
      </c>
      <c r="E3201" s="1">
        <f>IFERROR(__xludf.DUMMYFUNCTION("""COMPUTED_VALUE"""),140.84)</f>
        <v>140.84</v>
      </c>
      <c r="F3201" s="1">
        <f>IFERROR(__xludf.DUMMYFUNCTION("""COMPUTED_VALUE"""),47739.0)</f>
        <v>47739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IFERROR(__xludf.DUMMYFUNCTION("""COMPUTED_VALUE"""),140.99)</f>
        <v>140.99</v>
      </c>
      <c r="C3202" s="1">
        <f>IFERROR(__xludf.DUMMYFUNCTION("""COMPUTED_VALUE"""),140.99)</f>
        <v>140.99</v>
      </c>
      <c r="D3202" s="1">
        <f>IFERROR(__xludf.DUMMYFUNCTION("""COMPUTED_VALUE"""),138.32)</f>
        <v>138.32</v>
      </c>
      <c r="E3202" s="1">
        <f>IFERROR(__xludf.DUMMYFUNCTION("""COMPUTED_VALUE"""),139.35)</f>
        <v>139.35</v>
      </c>
      <c r="F3202" s="1">
        <f>IFERROR(__xludf.DUMMYFUNCTION("""COMPUTED_VALUE"""),49910.0)</f>
        <v>49910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IFERROR(__xludf.DUMMYFUNCTION("""COMPUTED_VALUE"""),140.38)</f>
        <v>140.38</v>
      </c>
      <c r="C3203" s="1">
        <f>IFERROR(__xludf.DUMMYFUNCTION("""COMPUTED_VALUE"""),142.05)</f>
        <v>142.05</v>
      </c>
      <c r="D3203" s="1">
        <f>IFERROR(__xludf.DUMMYFUNCTION("""COMPUTED_VALUE"""),139.67)</f>
        <v>139.67</v>
      </c>
      <c r="E3203" s="1">
        <f>IFERROR(__xludf.DUMMYFUNCTION("""COMPUTED_VALUE"""),139.99)</f>
        <v>139.99</v>
      </c>
      <c r="F3203" s="1">
        <f>IFERROR(__xludf.DUMMYFUNCTION("""COMPUTED_VALUE"""),56545.0)</f>
        <v>56545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IFERROR(__xludf.DUMMYFUNCTION("""COMPUTED_VALUE"""),139.2)</f>
        <v>139.2</v>
      </c>
      <c r="C3204" s="1">
        <f>IFERROR(__xludf.DUMMYFUNCTION("""COMPUTED_VALUE"""),140.09)</f>
        <v>140.09</v>
      </c>
      <c r="D3204" s="1">
        <f>IFERROR(__xludf.DUMMYFUNCTION("""COMPUTED_VALUE"""),137.99)</f>
        <v>137.99</v>
      </c>
      <c r="E3204" s="1">
        <f>IFERROR(__xludf.DUMMYFUNCTION("""COMPUTED_VALUE"""),139.14)</f>
        <v>139.14</v>
      </c>
      <c r="F3204" s="1">
        <f>IFERROR(__xludf.DUMMYFUNCTION("""COMPUTED_VALUE"""),44789.0)</f>
        <v>44789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IFERROR(__xludf.DUMMYFUNCTION("""COMPUTED_VALUE"""),138.78)</f>
        <v>138.78</v>
      </c>
      <c r="C3205" s="1">
        <f>IFERROR(__xludf.DUMMYFUNCTION("""COMPUTED_VALUE"""),138.78)</f>
        <v>138.78</v>
      </c>
      <c r="D3205" s="1">
        <f>IFERROR(__xludf.DUMMYFUNCTION("""COMPUTED_VALUE"""),135.56)</f>
        <v>135.56</v>
      </c>
      <c r="E3205" s="1">
        <f>IFERROR(__xludf.DUMMYFUNCTION("""COMPUTED_VALUE"""),136.6)</f>
        <v>136.6</v>
      </c>
      <c r="F3205" s="1">
        <f>IFERROR(__xludf.DUMMYFUNCTION("""COMPUTED_VALUE"""),53808.0)</f>
        <v>53808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IFERROR(__xludf.DUMMYFUNCTION("""COMPUTED_VALUE"""),135.91)</f>
        <v>135.91</v>
      </c>
      <c r="C3206" s="1">
        <f>IFERROR(__xludf.DUMMYFUNCTION("""COMPUTED_VALUE"""),138.6)</f>
        <v>138.6</v>
      </c>
      <c r="D3206" s="1">
        <f>IFERROR(__xludf.DUMMYFUNCTION("""COMPUTED_VALUE"""),135.28)</f>
        <v>135.28</v>
      </c>
      <c r="E3206" s="1">
        <f>IFERROR(__xludf.DUMMYFUNCTION("""COMPUTED_VALUE"""),137.27)</f>
        <v>137.27</v>
      </c>
      <c r="F3206" s="1">
        <f>IFERROR(__xludf.DUMMYFUNCTION("""COMPUTED_VALUE"""),65962.0)</f>
        <v>65962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IFERROR(__xludf.DUMMYFUNCTION("""COMPUTED_VALUE"""),137.89)</f>
        <v>137.89</v>
      </c>
      <c r="C3207" s="1">
        <f>IFERROR(__xludf.DUMMYFUNCTION("""COMPUTED_VALUE"""),139.01)</f>
        <v>139.01</v>
      </c>
      <c r="D3207" s="1">
        <f>IFERROR(__xludf.DUMMYFUNCTION("""COMPUTED_VALUE"""),133.57)</f>
        <v>133.57</v>
      </c>
      <c r="E3207" s="1">
        <f>IFERROR(__xludf.DUMMYFUNCTION("""COMPUTED_VALUE"""),134.28)</f>
        <v>134.28</v>
      </c>
      <c r="F3207" s="1">
        <f>IFERROR(__xludf.DUMMYFUNCTION("""COMPUTED_VALUE"""),59941.0)</f>
        <v>59941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IFERROR(__xludf.DUMMYFUNCTION("""COMPUTED_VALUE"""),135.1)</f>
        <v>135.1</v>
      </c>
      <c r="C3208" s="1">
        <f>IFERROR(__xludf.DUMMYFUNCTION("""COMPUTED_VALUE"""),137.44)</f>
        <v>137.44</v>
      </c>
      <c r="D3208" s="1">
        <f>IFERROR(__xludf.DUMMYFUNCTION("""COMPUTED_VALUE"""),133.38)</f>
        <v>133.38</v>
      </c>
      <c r="E3208" s="1">
        <f>IFERROR(__xludf.DUMMYFUNCTION("""COMPUTED_VALUE"""),136.61)</f>
        <v>136.61</v>
      </c>
      <c r="F3208" s="1">
        <f>IFERROR(__xludf.DUMMYFUNCTION("""COMPUTED_VALUE"""),98441.0)</f>
        <v>98441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IFERROR(__xludf.DUMMYFUNCTION("""COMPUTED_VALUE"""),135.5)</f>
        <v>135.5</v>
      </c>
      <c r="C3209" s="1">
        <f>IFERROR(__xludf.DUMMYFUNCTION("""COMPUTED_VALUE"""),137.2)</f>
        <v>137.2</v>
      </c>
      <c r="D3209" s="1">
        <f>IFERROR(__xludf.DUMMYFUNCTION("""COMPUTED_VALUE"""),130.47)</f>
        <v>130.47</v>
      </c>
      <c r="E3209" s="1">
        <f>IFERROR(__xludf.DUMMYFUNCTION("""COMPUTED_VALUE"""),131.34)</f>
        <v>131.34</v>
      </c>
      <c r="F3209" s="1">
        <f>IFERROR(__xludf.DUMMYFUNCTION("""COMPUTED_VALUE"""),84260.0)</f>
        <v>84260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IFERROR(__xludf.DUMMYFUNCTION("""COMPUTED_VALUE"""),131.68)</f>
        <v>131.68</v>
      </c>
      <c r="C3210" s="1">
        <f>IFERROR(__xludf.DUMMYFUNCTION("""COMPUTED_VALUE"""),132.84)</f>
        <v>132.84</v>
      </c>
      <c r="D3210" s="1">
        <f>IFERROR(__xludf.DUMMYFUNCTION("""COMPUTED_VALUE"""),129.43)</f>
        <v>129.43</v>
      </c>
      <c r="E3210" s="1">
        <f>IFERROR(__xludf.DUMMYFUNCTION("""COMPUTED_VALUE"""),129.47)</f>
        <v>129.47</v>
      </c>
      <c r="F3210" s="1">
        <f>IFERROR(__xludf.DUMMYFUNCTION("""COMPUTED_VALUE"""),115260.0)</f>
        <v>115260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IFERROR(__xludf.DUMMYFUNCTION("""COMPUTED_VALUE"""),130.43)</f>
        <v>130.43</v>
      </c>
      <c r="C3211" s="1">
        <f>IFERROR(__xludf.DUMMYFUNCTION("""COMPUTED_VALUE"""),130.75)</f>
        <v>130.75</v>
      </c>
      <c r="D3211" s="1">
        <f>IFERROR(__xludf.DUMMYFUNCTION("""COMPUTED_VALUE"""),128.54)</f>
        <v>128.54</v>
      </c>
      <c r="E3211" s="1">
        <f>IFERROR(__xludf.DUMMYFUNCTION("""COMPUTED_VALUE"""),129.97)</f>
        <v>129.97</v>
      </c>
      <c r="F3211" s="1">
        <f>IFERROR(__xludf.DUMMYFUNCTION("""COMPUTED_VALUE"""),97766.0)</f>
        <v>97766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IFERROR(__xludf.DUMMYFUNCTION("""COMPUTED_VALUE"""),131.0)</f>
        <v>131</v>
      </c>
      <c r="C3212" s="1">
        <f>IFERROR(__xludf.DUMMYFUNCTION("""COMPUTED_VALUE"""),132.34)</f>
        <v>132.34</v>
      </c>
      <c r="D3212" s="1">
        <f>IFERROR(__xludf.DUMMYFUNCTION("""COMPUTED_VALUE"""),130.05)</f>
        <v>130.05</v>
      </c>
      <c r="E3212" s="1">
        <f>IFERROR(__xludf.DUMMYFUNCTION("""COMPUTED_VALUE"""),130.89)</f>
        <v>130.89</v>
      </c>
      <c r="F3212" s="1">
        <f>IFERROR(__xludf.DUMMYFUNCTION("""COMPUTED_VALUE"""),70065.0)</f>
        <v>70065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IFERROR(__xludf.DUMMYFUNCTION("""COMPUTED_VALUE"""),130.24)</f>
        <v>130.24</v>
      </c>
      <c r="C3213" s="1">
        <f>IFERROR(__xludf.DUMMYFUNCTION("""COMPUTED_VALUE"""),131.5)</f>
        <v>131.5</v>
      </c>
      <c r="D3213" s="1">
        <f>IFERROR(__xludf.DUMMYFUNCTION("""COMPUTED_VALUE"""),128.37)</f>
        <v>128.37</v>
      </c>
      <c r="E3213" s="1">
        <f>IFERROR(__xludf.DUMMYFUNCTION("""COMPUTED_VALUE"""),130.97)</f>
        <v>130.97</v>
      </c>
      <c r="F3213" s="1">
        <f>IFERROR(__xludf.DUMMYFUNCTION("""COMPUTED_VALUE"""),70607.0)</f>
        <v>70607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IFERROR(__xludf.DUMMYFUNCTION("""COMPUTED_VALUE"""),130.76)</f>
        <v>130.76</v>
      </c>
      <c r="C3214" s="1">
        <f>IFERROR(__xludf.DUMMYFUNCTION("""COMPUTED_VALUE"""),131.26)</f>
        <v>131.26</v>
      </c>
      <c r="D3214" s="1">
        <f>IFERROR(__xludf.DUMMYFUNCTION("""COMPUTED_VALUE"""),128.16)</f>
        <v>128.16</v>
      </c>
      <c r="E3214" s="1">
        <f>IFERROR(__xludf.DUMMYFUNCTION("""COMPUTED_VALUE"""),128.72)</f>
        <v>128.72</v>
      </c>
      <c r="F3214" s="1">
        <f>IFERROR(__xludf.DUMMYFUNCTION("""COMPUTED_VALUE"""),54805.0)</f>
        <v>54805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IFERROR(__xludf.DUMMYFUNCTION("""COMPUTED_VALUE"""),128.76)</f>
        <v>128.76</v>
      </c>
      <c r="C3215" s="1">
        <f>IFERROR(__xludf.DUMMYFUNCTION("""COMPUTED_VALUE"""),130.02)</f>
        <v>130.02</v>
      </c>
      <c r="D3215" s="1">
        <f>IFERROR(__xludf.DUMMYFUNCTION("""COMPUTED_VALUE"""),127.8)</f>
        <v>127.8</v>
      </c>
      <c r="E3215" s="1">
        <f>IFERROR(__xludf.DUMMYFUNCTION("""COMPUTED_VALUE"""),129.92)</f>
        <v>129.92</v>
      </c>
      <c r="F3215" s="1">
        <f>IFERROR(__xludf.DUMMYFUNCTION("""COMPUTED_VALUE"""),59592.0)</f>
        <v>59592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IFERROR(__xludf.DUMMYFUNCTION("""COMPUTED_VALUE"""),129.84)</f>
        <v>129.84</v>
      </c>
      <c r="C3216" s="1">
        <f>IFERROR(__xludf.DUMMYFUNCTION("""COMPUTED_VALUE"""),133.69)</f>
        <v>133.69</v>
      </c>
      <c r="D3216" s="1">
        <f>IFERROR(__xludf.DUMMYFUNCTION("""COMPUTED_VALUE"""),129.84)</f>
        <v>129.84</v>
      </c>
      <c r="E3216" s="1">
        <f>IFERROR(__xludf.DUMMYFUNCTION("""COMPUTED_VALUE"""),133.24)</f>
        <v>133.24</v>
      </c>
      <c r="F3216" s="1">
        <f>IFERROR(__xludf.DUMMYFUNCTION("""COMPUTED_VALUE"""),49640.0)</f>
        <v>49640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IFERROR(__xludf.DUMMYFUNCTION("""COMPUTED_VALUE"""),133.14)</f>
        <v>133.14</v>
      </c>
      <c r="C3217" s="1">
        <f>IFERROR(__xludf.DUMMYFUNCTION("""COMPUTED_VALUE"""),135.14)</f>
        <v>135.14</v>
      </c>
      <c r="D3217" s="1">
        <f>IFERROR(__xludf.DUMMYFUNCTION("""COMPUTED_VALUE"""),132.55)</f>
        <v>132.55</v>
      </c>
      <c r="E3217" s="1">
        <f>IFERROR(__xludf.DUMMYFUNCTION("""COMPUTED_VALUE"""),133.55)</f>
        <v>133.55</v>
      </c>
      <c r="F3217" s="1">
        <f>IFERROR(__xludf.DUMMYFUNCTION("""COMPUTED_VALUE"""),70350.0)</f>
        <v>70350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IFERROR(__xludf.DUMMYFUNCTION("""COMPUTED_VALUE"""),133.62)</f>
        <v>133.62</v>
      </c>
      <c r="C3218" s="1">
        <f>IFERROR(__xludf.DUMMYFUNCTION("""COMPUTED_VALUE"""),135.61)</f>
        <v>135.61</v>
      </c>
      <c r="D3218" s="1">
        <f>IFERROR(__xludf.DUMMYFUNCTION("""COMPUTED_VALUE"""),131.47)</f>
        <v>131.47</v>
      </c>
      <c r="E3218" s="1">
        <f>IFERROR(__xludf.DUMMYFUNCTION("""COMPUTED_VALUE"""),134.79)</f>
        <v>134.79</v>
      </c>
      <c r="F3218" s="1">
        <f>IFERROR(__xludf.DUMMYFUNCTION("""COMPUTED_VALUE"""),70225.0)</f>
        <v>70225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IFERROR(__xludf.DUMMYFUNCTION("""COMPUTED_VALUE"""),134.09)</f>
        <v>134.09</v>
      </c>
      <c r="C3219" s="1">
        <f>IFERROR(__xludf.DUMMYFUNCTION("""COMPUTED_VALUE"""),138.19)</f>
        <v>138.19</v>
      </c>
      <c r="D3219" s="1">
        <f>IFERROR(__xludf.DUMMYFUNCTION("""COMPUTED_VALUE"""),133.06)</f>
        <v>133.06</v>
      </c>
      <c r="E3219" s="1">
        <f>IFERROR(__xludf.DUMMYFUNCTION("""COMPUTED_VALUE"""),137.94)</f>
        <v>137.94</v>
      </c>
      <c r="F3219" s="1">
        <f>IFERROR(__xludf.DUMMYFUNCTION("""COMPUTED_VALUE"""),64046.0)</f>
        <v>64046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IFERROR(__xludf.DUMMYFUNCTION("""COMPUTED_VALUE"""),139.29)</f>
        <v>139.29</v>
      </c>
      <c r="C3220" s="1">
        <f>IFERROR(__xludf.DUMMYFUNCTION("""COMPUTED_VALUE"""),139.29)</f>
        <v>139.29</v>
      </c>
      <c r="D3220" s="1">
        <f>IFERROR(__xludf.DUMMYFUNCTION("""COMPUTED_VALUE"""),135.56)</f>
        <v>135.56</v>
      </c>
      <c r="E3220" s="1">
        <f>IFERROR(__xludf.DUMMYFUNCTION("""COMPUTED_VALUE"""),136.04)</f>
        <v>136.04</v>
      </c>
      <c r="F3220" s="1">
        <f>IFERROR(__xludf.DUMMYFUNCTION("""COMPUTED_VALUE"""),41688.0)</f>
        <v>41688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IFERROR(__xludf.DUMMYFUNCTION("""COMPUTED_VALUE"""),137.06)</f>
        <v>137.06</v>
      </c>
      <c r="C3221" s="1">
        <f>IFERROR(__xludf.DUMMYFUNCTION("""COMPUTED_VALUE"""),139.4)</f>
        <v>139.4</v>
      </c>
      <c r="D3221" s="1">
        <f>IFERROR(__xludf.DUMMYFUNCTION("""COMPUTED_VALUE"""),136.38)</f>
        <v>136.38</v>
      </c>
      <c r="E3221" s="1">
        <f>IFERROR(__xludf.DUMMYFUNCTION("""COMPUTED_VALUE"""),139.16)</f>
        <v>139.16</v>
      </c>
      <c r="F3221" s="1">
        <f>IFERROR(__xludf.DUMMYFUNCTION("""COMPUTED_VALUE"""),59385.0)</f>
        <v>59385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IFERROR(__xludf.DUMMYFUNCTION("""COMPUTED_VALUE"""),139.86)</f>
        <v>139.86</v>
      </c>
      <c r="C3222" s="1">
        <f>IFERROR(__xludf.DUMMYFUNCTION("""COMPUTED_VALUE"""),141.62)</f>
        <v>141.62</v>
      </c>
      <c r="D3222" s="1">
        <f>IFERROR(__xludf.DUMMYFUNCTION("""COMPUTED_VALUE"""),138.79)</f>
        <v>138.79</v>
      </c>
      <c r="E3222" s="1">
        <f>IFERROR(__xludf.DUMMYFUNCTION("""COMPUTED_VALUE"""),139.26)</f>
        <v>139.26</v>
      </c>
      <c r="F3222" s="1">
        <f>IFERROR(__xludf.DUMMYFUNCTION("""COMPUTED_VALUE"""),60800.0)</f>
        <v>60800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IFERROR(__xludf.DUMMYFUNCTION("""COMPUTED_VALUE"""),138.27)</f>
        <v>138.27</v>
      </c>
      <c r="C3223" s="1">
        <f>IFERROR(__xludf.DUMMYFUNCTION("""COMPUTED_VALUE"""),139.39)</f>
        <v>139.39</v>
      </c>
      <c r="D3223" s="1">
        <f>IFERROR(__xludf.DUMMYFUNCTION("""COMPUTED_VALUE"""),135.84)</f>
        <v>135.84</v>
      </c>
      <c r="E3223" s="1">
        <f>IFERROR(__xludf.DUMMYFUNCTION("""COMPUTED_VALUE"""),137.76)</f>
        <v>137.76</v>
      </c>
      <c r="F3223" s="1">
        <f>IFERROR(__xludf.DUMMYFUNCTION("""COMPUTED_VALUE"""),55688.0)</f>
        <v>55688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IFERROR(__xludf.DUMMYFUNCTION("""COMPUTED_VALUE"""),137.27)</f>
        <v>137.27</v>
      </c>
      <c r="C3224" s="1">
        <f>IFERROR(__xludf.DUMMYFUNCTION("""COMPUTED_VALUE"""),138.45)</f>
        <v>138.45</v>
      </c>
      <c r="D3224" s="1">
        <f>IFERROR(__xludf.DUMMYFUNCTION("""COMPUTED_VALUE"""),135.98)</f>
        <v>135.98</v>
      </c>
      <c r="E3224" s="1">
        <f>IFERROR(__xludf.DUMMYFUNCTION("""COMPUTED_VALUE"""),135.98)</f>
        <v>135.98</v>
      </c>
      <c r="F3224" s="1">
        <f>IFERROR(__xludf.DUMMYFUNCTION("""COMPUTED_VALUE"""),43674.0)</f>
        <v>43674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IFERROR(__xludf.DUMMYFUNCTION("""COMPUTED_VALUE"""),136.78)</f>
        <v>136.78</v>
      </c>
      <c r="C3225" s="1">
        <f>IFERROR(__xludf.DUMMYFUNCTION("""COMPUTED_VALUE"""),138.84)</f>
        <v>138.84</v>
      </c>
      <c r="D3225" s="1">
        <f>IFERROR(__xludf.DUMMYFUNCTION("""COMPUTED_VALUE"""),136.37)</f>
        <v>136.37</v>
      </c>
      <c r="E3225" s="1">
        <f>IFERROR(__xludf.DUMMYFUNCTION("""COMPUTED_VALUE"""),138.61)</f>
        <v>138.61</v>
      </c>
      <c r="F3225" s="1">
        <f>IFERROR(__xludf.DUMMYFUNCTION("""COMPUTED_VALUE"""),39855.0)</f>
        <v>39855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IFERROR(__xludf.DUMMYFUNCTION("""COMPUTED_VALUE"""),139.37)</f>
        <v>139.37</v>
      </c>
      <c r="C3226" s="1">
        <f>IFERROR(__xludf.DUMMYFUNCTION("""COMPUTED_VALUE"""),142.69)</f>
        <v>142.69</v>
      </c>
      <c r="D3226" s="1">
        <f>IFERROR(__xludf.DUMMYFUNCTION("""COMPUTED_VALUE"""),138.86)</f>
        <v>138.86</v>
      </c>
      <c r="E3226" s="1">
        <f>IFERROR(__xludf.DUMMYFUNCTION("""COMPUTED_VALUE"""),142.69)</f>
        <v>142.69</v>
      </c>
      <c r="F3226" s="1">
        <f>IFERROR(__xludf.DUMMYFUNCTION("""COMPUTED_VALUE"""),50042.0)</f>
        <v>50042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IFERROR(__xludf.DUMMYFUNCTION("""COMPUTED_VALUE"""),142.63)</f>
        <v>142.63</v>
      </c>
      <c r="C3227" s="1">
        <f>IFERROR(__xludf.DUMMYFUNCTION("""COMPUTED_VALUE"""),145.1)</f>
        <v>145.1</v>
      </c>
      <c r="D3227" s="1">
        <f>IFERROR(__xludf.DUMMYFUNCTION("""COMPUTED_VALUE"""),141.39)</f>
        <v>141.39</v>
      </c>
      <c r="E3227" s="1">
        <f>IFERROR(__xludf.DUMMYFUNCTION("""COMPUTED_VALUE"""),142.21)</f>
        <v>142.21</v>
      </c>
      <c r="F3227" s="1">
        <f>IFERROR(__xludf.DUMMYFUNCTION("""COMPUTED_VALUE"""),86261.0)</f>
        <v>86261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IFERROR(__xludf.DUMMYFUNCTION("""COMPUTED_VALUE"""),142.25)</f>
        <v>142.25</v>
      </c>
      <c r="C3228" s="1">
        <f>IFERROR(__xludf.DUMMYFUNCTION("""COMPUTED_VALUE"""),146.22)</f>
        <v>146.22</v>
      </c>
      <c r="D3228" s="1">
        <f>IFERROR(__xludf.DUMMYFUNCTION("""COMPUTED_VALUE"""),141.37)</f>
        <v>141.37</v>
      </c>
      <c r="E3228" s="1">
        <f>IFERROR(__xludf.DUMMYFUNCTION("""COMPUTED_VALUE"""),143.64)</f>
        <v>143.64</v>
      </c>
      <c r="F3228" s="1">
        <f>IFERROR(__xludf.DUMMYFUNCTION("""COMPUTED_VALUE"""),57582.0)</f>
        <v>57582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IFERROR(__xludf.DUMMYFUNCTION("""COMPUTED_VALUE"""),144.98)</f>
        <v>144.98</v>
      </c>
      <c r="C3229" s="1">
        <f>IFERROR(__xludf.DUMMYFUNCTION("""COMPUTED_VALUE"""),147.22)</f>
        <v>147.22</v>
      </c>
      <c r="D3229" s="1">
        <f>IFERROR(__xludf.DUMMYFUNCTION("""COMPUTED_VALUE"""),143.76)</f>
        <v>143.76</v>
      </c>
      <c r="E3229" s="1">
        <f>IFERROR(__xludf.DUMMYFUNCTION("""COMPUTED_VALUE"""),145.66)</f>
        <v>145.66</v>
      </c>
      <c r="F3229" s="1">
        <f>IFERROR(__xludf.DUMMYFUNCTION("""COMPUTED_VALUE"""),40589.0)</f>
        <v>40589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IFERROR(__xludf.DUMMYFUNCTION("""COMPUTED_VALUE"""),146.51)</f>
        <v>146.51</v>
      </c>
      <c r="C3230" s="1">
        <f>IFERROR(__xludf.DUMMYFUNCTION("""COMPUTED_VALUE"""),149.75)</f>
        <v>149.75</v>
      </c>
      <c r="D3230" s="1">
        <f>IFERROR(__xludf.DUMMYFUNCTION("""COMPUTED_VALUE"""),145.93)</f>
        <v>145.93</v>
      </c>
      <c r="E3230" s="1">
        <f>IFERROR(__xludf.DUMMYFUNCTION("""COMPUTED_VALUE"""),149.58)</f>
        <v>149.58</v>
      </c>
      <c r="F3230" s="1">
        <f>IFERROR(__xludf.DUMMYFUNCTION("""COMPUTED_VALUE"""),46610.0)</f>
        <v>46610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IFERROR(__xludf.DUMMYFUNCTION("""COMPUTED_VALUE"""),148.58)</f>
        <v>148.58</v>
      </c>
      <c r="C3231" s="1">
        <f>IFERROR(__xludf.DUMMYFUNCTION("""COMPUTED_VALUE"""),149.85)</f>
        <v>149.85</v>
      </c>
      <c r="D3231" s="1">
        <f>IFERROR(__xludf.DUMMYFUNCTION("""COMPUTED_VALUE"""),147.09)</f>
        <v>147.09</v>
      </c>
      <c r="E3231" s="1">
        <f>IFERROR(__xludf.DUMMYFUNCTION("""COMPUTED_VALUE"""),147.61)</f>
        <v>147.61</v>
      </c>
      <c r="F3231" s="1">
        <f>IFERROR(__xludf.DUMMYFUNCTION("""COMPUTED_VALUE"""),66889.0)</f>
        <v>66889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IFERROR(__xludf.DUMMYFUNCTION("""COMPUTED_VALUE"""),147.71)</f>
        <v>147.71</v>
      </c>
      <c r="C3232" s="1">
        <f>IFERROR(__xludf.DUMMYFUNCTION("""COMPUTED_VALUE"""),148.2)</f>
        <v>148.2</v>
      </c>
      <c r="D3232" s="1">
        <f>IFERROR(__xludf.DUMMYFUNCTION("""COMPUTED_VALUE"""),146.45)</f>
        <v>146.45</v>
      </c>
      <c r="E3232" s="1">
        <f>IFERROR(__xludf.DUMMYFUNCTION("""COMPUTED_VALUE"""),146.45)</f>
        <v>146.45</v>
      </c>
      <c r="F3232" s="1">
        <f>IFERROR(__xludf.DUMMYFUNCTION("""COMPUTED_VALUE"""),54895.0)</f>
        <v>54895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IFERROR(__xludf.DUMMYFUNCTION("""COMPUTED_VALUE"""),145.42)</f>
        <v>145.42</v>
      </c>
      <c r="C3233" s="1">
        <f>IFERROR(__xludf.DUMMYFUNCTION("""COMPUTED_VALUE"""),148.78)</f>
        <v>148.78</v>
      </c>
      <c r="D3233" s="1">
        <f>IFERROR(__xludf.DUMMYFUNCTION("""COMPUTED_VALUE"""),144.7)</f>
        <v>144.7</v>
      </c>
      <c r="E3233" s="1">
        <f>IFERROR(__xludf.DUMMYFUNCTION("""COMPUTED_VALUE"""),145.13)</f>
        <v>145.13</v>
      </c>
      <c r="F3233" s="1">
        <f>IFERROR(__xludf.DUMMYFUNCTION("""COMPUTED_VALUE"""),44761.0)</f>
        <v>44761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IFERROR(__xludf.DUMMYFUNCTION("""COMPUTED_VALUE"""),143.66)</f>
        <v>143.66</v>
      </c>
      <c r="C3234" s="1">
        <f>IFERROR(__xludf.DUMMYFUNCTION("""COMPUTED_VALUE"""),145.8)</f>
        <v>145.8</v>
      </c>
      <c r="D3234" s="1">
        <f>IFERROR(__xludf.DUMMYFUNCTION("""COMPUTED_VALUE"""),142.84)</f>
        <v>142.84</v>
      </c>
      <c r="E3234" s="1">
        <f>IFERROR(__xludf.DUMMYFUNCTION("""COMPUTED_VALUE"""),145.59)</f>
        <v>145.59</v>
      </c>
      <c r="F3234" s="1">
        <f>IFERROR(__xludf.DUMMYFUNCTION("""COMPUTED_VALUE"""),34648.0)</f>
        <v>34648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IFERROR(__xludf.DUMMYFUNCTION("""COMPUTED_VALUE"""),146.0)</f>
        <v>146</v>
      </c>
      <c r="C3235" s="1">
        <f>IFERROR(__xludf.DUMMYFUNCTION("""COMPUTED_VALUE"""),148.5)</f>
        <v>148.5</v>
      </c>
      <c r="D3235" s="1">
        <f>IFERROR(__xludf.DUMMYFUNCTION("""COMPUTED_VALUE"""),145.72)</f>
        <v>145.72</v>
      </c>
      <c r="E3235" s="1">
        <f>IFERROR(__xludf.DUMMYFUNCTION("""COMPUTED_VALUE"""),146.96)</f>
        <v>146.96</v>
      </c>
      <c r="F3235" s="1">
        <f>IFERROR(__xludf.DUMMYFUNCTION("""COMPUTED_VALUE"""),37451.0)</f>
        <v>37451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IFERROR(__xludf.DUMMYFUNCTION("""COMPUTED_VALUE"""),147.81)</f>
        <v>147.81</v>
      </c>
      <c r="C3236" s="1">
        <f>IFERROR(__xludf.DUMMYFUNCTION("""COMPUTED_VALUE"""),150.54)</f>
        <v>150.54</v>
      </c>
      <c r="D3236" s="1">
        <f>IFERROR(__xludf.DUMMYFUNCTION("""COMPUTED_VALUE"""),146.5)</f>
        <v>146.5</v>
      </c>
      <c r="E3236" s="1">
        <f>IFERROR(__xludf.DUMMYFUNCTION("""COMPUTED_VALUE"""),149.85)</f>
        <v>149.85</v>
      </c>
      <c r="F3236" s="1">
        <f>IFERROR(__xludf.DUMMYFUNCTION("""COMPUTED_VALUE"""),48703.0)</f>
        <v>48703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IFERROR(__xludf.DUMMYFUNCTION("""COMPUTED_VALUE"""),149.53)</f>
        <v>149.53</v>
      </c>
      <c r="C3237" s="1">
        <f>IFERROR(__xludf.DUMMYFUNCTION("""COMPUTED_VALUE"""),150.15)</f>
        <v>150.15</v>
      </c>
      <c r="D3237" s="1">
        <f>IFERROR(__xludf.DUMMYFUNCTION("""COMPUTED_VALUE"""),145.57)</f>
        <v>145.57</v>
      </c>
      <c r="E3237" s="1">
        <f>IFERROR(__xludf.DUMMYFUNCTION("""COMPUTED_VALUE"""),145.88)</f>
        <v>145.88</v>
      </c>
      <c r="F3237" s="1">
        <f>IFERROR(__xludf.DUMMYFUNCTION("""COMPUTED_VALUE"""),78134.0)</f>
        <v>78134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IFERROR(__xludf.DUMMYFUNCTION("""COMPUTED_VALUE"""),145.8)</f>
        <v>145.8</v>
      </c>
      <c r="C3238" s="1">
        <f>IFERROR(__xludf.DUMMYFUNCTION("""COMPUTED_VALUE"""),146.68)</f>
        <v>146.68</v>
      </c>
      <c r="D3238" s="1">
        <f>IFERROR(__xludf.DUMMYFUNCTION("""COMPUTED_VALUE"""),142.28)</f>
        <v>142.28</v>
      </c>
      <c r="E3238" s="1">
        <f>IFERROR(__xludf.DUMMYFUNCTION("""COMPUTED_VALUE"""),142.5)</f>
        <v>142.5</v>
      </c>
      <c r="F3238" s="1">
        <f>IFERROR(__xludf.DUMMYFUNCTION("""COMPUTED_VALUE"""),88085.0)</f>
        <v>88085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IFERROR(__xludf.DUMMYFUNCTION("""COMPUTED_VALUE"""),144.53)</f>
        <v>144.53</v>
      </c>
      <c r="C3239" s="1">
        <f>IFERROR(__xludf.DUMMYFUNCTION("""COMPUTED_VALUE"""),147.93)</f>
        <v>147.93</v>
      </c>
      <c r="D3239" s="1">
        <f>IFERROR(__xludf.DUMMYFUNCTION("""COMPUTED_VALUE"""),141.18)</f>
        <v>141.18</v>
      </c>
      <c r="E3239" s="1">
        <f>IFERROR(__xludf.DUMMYFUNCTION("""COMPUTED_VALUE"""),143.71)</f>
        <v>143.71</v>
      </c>
      <c r="F3239" s="1">
        <f>IFERROR(__xludf.DUMMYFUNCTION("""COMPUTED_VALUE"""),87328.0)</f>
        <v>87328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IFERROR(__xludf.DUMMYFUNCTION("""COMPUTED_VALUE"""),144.59)</f>
        <v>144.59</v>
      </c>
      <c r="C3240" s="1">
        <f>IFERROR(__xludf.DUMMYFUNCTION("""COMPUTED_VALUE"""),144.59)</f>
        <v>144.59</v>
      </c>
      <c r="D3240" s="1">
        <f>IFERROR(__xludf.DUMMYFUNCTION("""COMPUTED_VALUE"""),133.99)</f>
        <v>133.99</v>
      </c>
      <c r="E3240" s="1">
        <f>IFERROR(__xludf.DUMMYFUNCTION("""COMPUTED_VALUE"""),140.63)</f>
        <v>140.63</v>
      </c>
      <c r="F3240" s="1">
        <f>IFERROR(__xludf.DUMMYFUNCTION("""COMPUTED_VALUE"""),138354.0)</f>
        <v>138354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IFERROR(__xludf.DUMMYFUNCTION("""COMPUTED_VALUE"""),140.32)</f>
        <v>140.32</v>
      </c>
      <c r="C3241" s="1">
        <f>IFERROR(__xludf.DUMMYFUNCTION("""COMPUTED_VALUE"""),141.37)</f>
        <v>141.37</v>
      </c>
      <c r="D3241" s="1">
        <f>IFERROR(__xludf.DUMMYFUNCTION("""COMPUTED_VALUE"""),136.57)</f>
        <v>136.57</v>
      </c>
      <c r="E3241" s="1">
        <f>IFERROR(__xludf.DUMMYFUNCTION("""COMPUTED_VALUE"""),137.97)</f>
        <v>137.97</v>
      </c>
      <c r="F3241" s="1">
        <f>IFERROR(__xludf.DUMMYFUNCTION("""COMPUTED_VALUE"""),101075.0)</f>
        <v>101075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IFERROR(__xludf.DUMMYFUNCTION("""COMPUTED_VALUE"""),151.0)</f>
        <v>151</v>
      </c>
      <c r="C3242" s="1">
        <f>IFERROR(__xludf.DUMMYFUNCTION("""COMPUTED_VALUE"""),155.49)</f>
        <v>155.49</v>
      </c>
      <c r="D3242" s="1">
        <f>IFERROR(__xludf.DUMMYFUNCTION("""COMPUTED_VALUE"""),142.9)</f>
        <v>142.9</v>
      </c>
      <c r="E3242" s="1">
        <f>IFERROR(__xludf.DUMMYFUNCTION("""COMPUTED_VALUE"""),151.55)</f>
        <v>151.55</v>
      </c>
      <c r="F3242" s="1">
        <f>IFERROR(__xludf.DUMMYFUNCTION("""COMPUTED_VALUE"""),163351.0)</f>
        <v>163351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IFERROR(__xludf.DUMMYFUNCTION("""COMPUTED_VALUE"""),152.28)</f>
        <v>152.28</v>
      </c>
      <c r="C3243" s="1">
        <f>IFERROR(__xludf.DUMMYFUNCTION("""COMPUTED_VALUE"""),156.13)</f>
        <v>156.13</v>
      </c>
      <c r="D3243" s="1">
        <f>IFERROR(__xludf.DUMMYFUNCTION("""COMPUTED_VALUE"""),151.76)</f>
        <v>151.76</v>
      </c>
      <c r="E3243" s="1">
        <f>IFERROR(__xludf.DUMMYFUNCTION("""COMPUTED_VALUE"""),156.08)</f>
        <v>156.08</v>
      </c>
      <c r="F3243" s="1">
        <f>IFERROR(__xludf.DUMMYFUNCTION("""COMPUTED_VALUE"""),103403.0)</f>
        <v>103403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IFERROR(__xludf.DUMMYFUNCTION("""COMPUTED_VALUE"""),154.67)</f>
        <v>154.67</v>
      </c>
      <c r="C3244" s="1">
        <f>IFERROR(__xludf.DUMMYFUNCTION("""COMPUTED_VALUE"""),157.3)</f>
        <v>157.3</v>
      </c>
      <c r="D3244" s="1">
        <f>IFERROR(__xludf.DUMMYFUNCTION("""COMPUTED_VALUE"""),154.09)</f>
        <v>154.09</v>
      </c>
      <c r="E3244" s="1">
        <f>IFERROR(__xludf.DUMMYFUNCTION("""COMPUTED_VALUE"""),156.59)</f>
        <v>156.59</v>
      </c>
      <c r="F3244" s="1">
        <f>IFERROR(__xludf.DUMMYFUNCTION("""COMPUTED_VALUE"""),66364.0)</f>
        <v>66364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IFERROR(__xludf.DUMMYFUNCTION("""COMPUTED_VALUE"""),157.94)</f>
        <v>157.94</v>
      </c>
      <c r="C3245" s="1">
        <f>IFERROR(__xludf.DUMMYFUNCTION("""COMPUTED_VALUE"""),159.49)</f>
        <v>159.49</v>
      </c>
      <c r="D3245" s="1">
        <f>IFERROR(__xludf.DUMMYFUNCTION("""COMPUTED_VALUE"""),153.43)</f>
        <v>153.43</v>
      </c>
      <c r="E3245" s="1">
        <f>IFERROR(__xludf.DUMMYFUNCTION("""COMPUTED_VALUE"""),156.32)</f>
        <v>156.32</v>
      </c>
      <c r="F3245" s="1">
        <f>IFERROR(__xludf.DUMMYFUNCTION("""COMPUTED_VALUE"""),65850.0)</f>
        <v>65850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IFERROR(__xludf.DUMMYFUNCTION("""COMPUTED_VALUE"""),156.77)</f>
        <v>156.77</v>
      </c>
      <c r="C3246" s="1">
        <f>IFERROR(__xludf.DUMMYFUNCTION("""COMPUTED_VALUE"""),159.75)</f>
        <v>159.75</v>
      </c>
      <c r="D3246" s="1">
        <f>IFERROR(__xludf.DUMMYFUNCTION("""COMPUTED_VALUE"""),155.91)</f>
        <v>155.91</v>
      </c>
      <c r="E3246" s="1">
        <f>IFERROR(__xludf.DUMMYFUNCTION("""COMPUTED_VALUE"""),159.59)</f>
        <v>159.59</v>
      </c>
      <c r="F3246" s="1">
        <f>IFERROR(__xludf.DUMMYFUNCTION("""COMPUTED_VALUE"""),93012.0)</f>
        <v>93012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IFERROR(__xludf.DUMMYFUNCTION("""COMPUTED_VALUE"""),159.18)</f>
        <v>159.18</v>
      </c>
      <c r="C3247" s="1">
        <f>IFERROR(__xludf.DUMMYFUNCTION("""COMPUTED_VALUE"""),161.81)</f>
        <v>161.81</v>
      </c>
      <c r="D3247" s="1">
        <f>IFERROR(__xludf.DUMMYFUNCTION("""COMPUTED_VALUE"""),156.09)</f>
        <v>156.09</v>
      </c>
      <c r="E3247" s="1">
        <f>IFERROR(__xludf.DUMMYFUNCTION("""COMPUTED_VALUE"""),161.38)</f>
        <v>161.38</v>
      </c>
      <c r="F3247" s="1">
        <f>IFERROR(__xludf.DUMMYFUNCTION("""COMPUTED_VALUE"""),88389.0)</f>
        <v>88389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IFERROR(__xludf.DUMMYFUNCTION("""COMPUTED_VALUE"""),161.04)</f>
        <v>161.04</v>
      </c>
      <c r="C3248" s="1">
        <f>IFERROR(__xludf.DUMMYFUNCTION("""COMPUTED_VALUE"""),161.35)</f>
        <v>161.35</v>
      </c>
      <c r="D3248" s="1">
        <f>IFERROR(__xludf.DUMMYFUNCTION("""COMPUTED_VALUE"""),157.71)</f>
        <v>157.71</v>
      </c>
      <c r="E3248" s="1">
        <f>IFERROR(__xludf.DUMMYFUNCTION("""COMPUTED_VALUE"""),160.41)</f>
        <v>160.41</v>
      </c>
      <c r="F3248" s="1">
        <f>IFERROR(__xludf.DUMMYFUNCTION("""COMPUTED_VALUE"""),104218.0)</f>
        <v>104218</v>
      </c>
    </row>
    <row r="3249">
      <c r="A3249" s="2">
        <f>IFERROR(__xludf.DUMMYFUNCTION("""COMPUTED_VALUE"""),44890.54513888889)</f>
        <v>44890.54514</v>
      </c>
      <c r="B3249" s="1">
        <f>IFERROR(__xludf.DUMMYFUNCTION("""COMPUTED_VALUE"""),160.8)</f>
        <v>160.8</v>
      </c>
      <c r="C3249" s="1">
        <f>IFERROR(__xludf.DUMMYFUNCTION("""COMPUTED_VALUE"""),163.71)</f>
        <v>163.71</v>
      </c>
      <c r="D3249" s="1">
        <f>IFERROR(__xludf.DUMMYFUNCTION("""COMPUTED_VALUE"""),159.99)</f>
        <v>159.99</v>
      </c>
      <c r="E3249" s="1">
        <f>IFERROR(__xludf.DUMMYFUNCTION("""COMPUTED_VALUE"""),161.91)</f>
        <v>161.91</v>
      </c>
      <c r="F3249" s="1">
        <f>IFERROR(__xludf.DUMMYFUNCTION("""COMPUTED_VALUE"""),37542.0)</f>
        <v>37542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IFERROR(__xludf.DUMMYFUNCTION("""COMPUTED_VALUE"""),161.9)</f>
        <v>161.9</v>
      </c>
      <c r="C3250" s="1">
        <f>IFERROR(__xludf.DUMMYFUNCTION("""COMPUTED_VALUE"""),163.97)</f>
        <v>163.97</v>
      </c>
      <c r="D3250" s="1">
        <f>IFERROR(__xludf.DUMMYFUNCTION("""COMPUTED_VALUE"""),159.89)</f>
        <v>159.89</v>
      </c>
      <c r="E3250" s="1">
        <f>IFERROR(__xludf.DUMMYFUNCTION("""COMPUTED_VALUE"""),162.96)</f>
        <v>162.96</v>
      </c>
      <c r="F3250" s="1">
        <f>IFERROR(__xludf.DUMMYFUNCTION("""COMPUTED_VALUE"""),72963.0)</f>
        <v>72963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IFERROR(__xludf.DUMMYFUNCTION("""COMPUTED_VALUE"""),162.89)</f>
        <v>162.89</v>
      </c>
      <c r="C3251" s="1">
        <f>IFERROR(__xludf.DUMMYFUNCTION("""COMPUTED_VALUE"""),163.3)</f>
        <v>163.3</v>
      </c>
      <c r="D3251" s="1">
        <f>IFERROR(__xludf.DUMMYFUNCTION("""COMPUTED_VALUE"""),146.53)</f>
        <v>146.53</v>
      </c>
      <c r="E3251" s="1">
        <f>IFERROR(__xludf.DUMMYFUNCTION("""COMPUTED_VALUE"""),159.64)</f>
        <v>159.64</v>
      </c>
      <c r="F3251" s="1">
        <f>IFERROR(__xludf.DUMMYFUNCTION("""COMPUTED_VALUE"""),73171.0)</f>
        <v>73171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IFERROR(__xludf.DUMMYFUNCTION("""COMPUTED_VALUE"""),160.1)</f>
        <v>160.1</v>
      </c>
      <c r="C3252" s="1">
        <f>IFERROR(__xludf.DUMMYFUNCTION("""COMPUTED_VALUE"""),164.3)</f>
        <v>164.3</v>
      </c>
      <c r="D3252" s="1">
        <f>IFERROR(__xludf.DUMMYFUNCTION("""COMPUTED_VALUE"""),159.11)</f>
        <v>159.11</v>
      </c>
      <c r="E3252" s="1">
        <f>IFERROR(__xludf.DUMMYFUNCTION("""COMPUTED_VALUE"""),164.02)</f>
        <v>164.02</v>
      </c>
      <c r="F3252" s="1">
        <f>IFERROR(__xludf.DUMMYFUNCTION("""COMPUTED_VALUE"""),82764.0)</f>
        <v>82764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IFERROR(__xludf.DUMMYFUNCTION("""COMPUTED_VALUE"""),163.95)</f>
        <v>163.95</v>
      </c>
      <c r="C3253" s="1">
        <f>IFERROR(__xludf.DUMMYFUNCTION("""COMPUTED_VALUE"""),165.9)</f>
        <v>165.9</v>
      </c>
      <c r="D3253" s="1">
        <f>IFERROR(__xludf.DUMMYFUNCTION("""COMPUTED_VALUE"""),162.01)</f>
        <v>162.01</v>
      </c>
      <c r="E3253" s="1">
        <f>IFERROR(__xludf.DUMMYFUNCTION("""COMPUTED_VALUE"""),163.62)</f>
        <v>163.62</v>
      </c>
      <c r="F3253" s="1">
        <f>IFERROR(__xludf.DUMMYFUNCTION("""COMPUTED_VALUE"""),62556.0)</f>
        <v>62556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IFERROR(__xludf.DUMMYFUNCTION("""COMPUTED_VALUE"""),162.86)</f>
        <v>162.86</v>
      </c>
      <c r="C3254" s="1">
        <f>IFERROR(__xludf.DUMMYFUNCTION("""COMPUTED_VALUE"""),165.16)</f>
        <v>165.16</v>
      </c>
      <c r="D3254" s="1">
        <f>IFERROR(__xludf.DUMMYFUNCTION("""COMPUTED_VALUE"""),162.1)</f>
        <v>162.1</v>
      </c>
      <c r="E3254" s="1">
        <f>IFERROR(__xludf.DUMMYFUNCTION("""COMPUTED_VALUE"""),163.82)</f>
        <v>163.82</v>
      </c>
      <c r="F3254" s="1">
        <f>IFERROR(__xludf.DUMMYFUNCTION("""COMPUTED_VALUE"""),49538.0)</f>
        <v>49538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IFERROR(__xludf.DUMMYFUNCTION("""COMPUTED_VALUE"""),163.13)</f>
        <v>163.13</v>
      </c>
      <c r="C3255" s="1">
        <f>IFERROR(__xludf.DUMMYFUNCTION("""COMPUTED_VALUE"""),163.13)</f>
        <v>163.13</v>
      </c>
      <c r="D3255" s="1">
        <f>IFERROR(__xludf.DUMMYFUNCTION("""COMPUTED_VALUE"""),158.43)</f>
        <v>158.43</v>
      </c>
      <c r="E3255" s="1">
        <f>IFERROR(__xludf.DUMMYFUNCTION("""COMPUTED_VALUE"""),159.4)</f>
        <v>159.4</v>
      </c>
      <c r="F3255" s="1">
        <f>IFERROR(__xludf.DUMMYFUNCTION("""COMPUTED_VALUE"""),74024.0)</f>
        <v>74024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IFERROR(__xludf.DUMMYFUNCTION("""COMPUTED_VALUE"""),158.67)</f>
        <v>158.67</v>
      </c>
      <c r="C3256" s="1">
        <f>IFERROR(__xludf.DUMMYFUNCTION("""COMPUTED_VALUE"""),159.41)</f>
        <v>159.41</v>
      </c>
      <c r="D3256" s="1">
        <f>IFERROR(__xludf.DUMMYFUNCTION("""COMPUTED_VALUE"""),156.9)</f>
        <v>156.9</v>
      </c>
      <c r="E3256" s="1">
        <f>IFERROR(__xludf.DUMMYFUNCTION("""COMPUTED_VALUE"""),158.08)</f>
        <v>158.08</v>
      </c>
      <c r="F3256" s="1">
        <f>IFERROR(__xludf.DUMMYFUNCTION("""COMPUTED_VALUE"""),63607.0)</f>
        <v>63607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IFERROR(__xludf.DUMMYFUNCTION("""COMPUTED_VALUE"""),158.87)</f>
        <v>158.87</v>
      </c>
      <c r="C3257" s="1">
        <f>IFERROR(__xludf.DUMMYFUNCTION("""COMPUTED_VALUE"""),158.95)</f>
        <v>158.95</v>
      </c>
      <c r="D3257" s="1">
        <f>IFERROR(__xludf.DUMMYFUNCTION("""COMPUTED_VALUE"""),157.12)</f>
        <v>157.12</v>
      </c>
      <c r="E3257" s="1">
        <f>IFERROR(__xludf.DUMMYFUNCTION("""COMPUTED_VALUE"""),157.13)</f>
        <v>157.13</v>
      </c>
      <c r="F3257" s="1">
        <f>IFERROR(__xludf.DUMMYFUNCTION("""COMPUTED_VALUE"""),58066.0)</f>
        <v>58066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IFERROR(__xludf.DUMMYFUNCTION("""COMPUTED_VALUE"""),156.43)</f>
        <v>156.43</v>
      </c>
      <c r="C3258" s="1">
        <f>IFERROR(__xludf.DUMMYFUNCTION("""COMPUTED_VALUE"""),161.15)</f>
        <v>161.15</v>
      </c>
      <c r="D3258" s="1">
        <f>IFERROR(__xludf.DUMMYFUNCTION("""COMPUTED_VALUE"""),155.8)</f>
        <v>155.8</v>
      </c>
      <c r="E3258" s="1">
        <f>IFERROR(__xludf.DUMMYFUNCTION("""COMPUTED_VALUE"""),160.14)</f>
        <v>160.14</v>
      </c>
      <c r="F3258" s="1">
        <f>IFERROR(__xludf.DUMMYFUNCTION("""COMPUTED_VALUE"""),74544.0)</f>
        <v>74544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IFERROR(__xludf.DUMMYFUNCTION("""COMPUTED_VALUE"""),160.42)</f>
        <v>160.42</v>
      </c>
      <c r="C3259" s="1">
        <f>IFERROR(__xludf.DUMMYFUNCTION("""COMPUTED_VALUE"""),161.12)</f>
        <v>161.12</v>
      </c>
      <c r="D3259" s="1">
        <f>IFERROR(__xludf.DUMMYFUNCTION("""COMPUTED_VALUE"""),155.84)</f>
        <v>155.84</v>
      </c>
      <c r="E3259" s="1">
        <f>IFERROR(__xludf.DUMMYFUNCTION("""COMPUTED_VALUE"""),156.27)</f>
        <v>156.27</v>
      </c>
      <c r="F3259" s="1">
        <f>IFERROR(__xludf.DUMMYFUNCTION("""COMPUTED_VALUE"""),140047.0)</f>
        <v>140047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IFERROR(__xludf.DUMMYFUNCTION("""COMPUTED_VALUE"""),156.62)</f>
        <v>156.62</v>
      </c>
      <c r="C3260" s="1">
        <f>IFERROR(__xludf.DUMMYFUNCTION("""COMPUTED_VALUE"""),158.01)</f>
        <v>158.01</v>
      </c>
      <c r="D3260" s="1">
        <f>IFERROR(__xludf.DUMMYFUNCTION("""COMPUTED_VALUE"""),154.82)</f>
        <v>154.82</v>
      </c>
      <c r="E3260" s="1">
        <f>IFERROR(__xludf.DUMMYFUNCTION("""COMPUTED_VALUE"""),155.87)</f>
        <v>155.87</v>
      </c>
      <c r="F3260" s="1">
        <f>IFERROR(__xludf.DUMMYFUNCTION("""COMPUTED_VALUE"""),63441.0)</f>
        <v>63441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IFERROR(__xludf.DUMMYFUNCTION("""COMPUTED_VALUE"""),158.66)</f>
        <v>158.66</v>
      </c>
      <c r="C3261" s="1">
        <f>IFERROR(__xludf.DUMMYFUNCTION("""COMPUTED_VALUE"""),158.95)</f>
        <v>158.95</v>
      </c>
      <c r="D3261" s="1">
        <f>IFERROR(__xludf.DUMMYFUNCTION("""COMPUTED_VALUE"""),156.55)</f>
        <v>156.55</v>
      </c>
      <c r="E3261" s="1">
        <f>IFERROR(__xludf.DUMMYFUNCTION("""COMPUTED_VALUE"""),157.12)</f>
        <v>157.12</v>
      </c>
      <c r="F3261" s="1">
        <f>IFERROR(__xludf.DUMMYFUNCTION("""COMPUTED_VALUE"""),124817.0)</f>
        <v>124817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IFERROR(__xludf.DUMMYFUNCTION("""COMPUTED_VALUE"""),157.38)</f>
        <v>157.38</v>
      </c>
      <c r="C3262" s="1">
        <f>IFERROR(__xludf.DUMMYFUNCTION("""COMPUTED_VALUE"""),159.2)</f>
        <v>159.2</v>
      </c>
      <c r="D3262" s="1">
        <f>IFERROR(__xludf.DUMMYFUNCTION("""COMPUTED_VALUE"""),155.46)</f>
        <v>155.46</v>
      </c>
      <c r="E3262" s="1">
        <f>IFERROR(__xludf.DUMMYFUNCTION("""COMPUTED_VALUE"""),156.04)</f>
        <v>156.04</v>
      </c>
      <c r="F3262" s="1">
        <f>IFERROR(__xludf.DUMMYFUNCTION("""COMPUTED_VALUE"""),77369.0)</f>
        <v>77369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IFERROR(__xludf.DUMMYFUNCTION("""COMPUTED_VALUE"""),154.55)</f>
        <v>154.55</v>
      </c>
      <c r="C3263" s="1">
        <f>IFERROR(__xludf.DUMMYFUNCTION("""COMPUTED_VALUE"""),155.82)</f>
        <v>155.82</v>
      </c>
      <c r="D3263" s="1">
        <f>IFERROR(__xludf.DUMMYFUNCTION("""COMPUTED_VALUE"""),151.82)</f>
        <v>151.82</v>
      </c>
      <c r="E3263" s="1">
        <f>IFERROR(__xludf.DUMMYFUNCTION("""COMPUTED_VALUE"""),153.19)</f>
        <v>153.19</v>
      </c>
      <c r="F3263" s="1">
        <f>IFERROR(__xludf.DUMMYFUNCTION("""COMPUTED_VALUE"""),90173.0)</f>
        <v>90173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IFERROR(__xludf.DUMMYFUNCTION("""COMPUTED_VALUE"""),151.33)</f>
        <v>151.33</v>
      </c>
      <c r="C3264" s="1">
        <f>IFERROR(__xludf.DUMMYFUNCTION("""COMPUTED_VALUE"""),153.37)</f>
        <v>153.37</v>
      </c>
      <c r="D3264" s="1">
        <f>IFERROR(__xludf.DUMMYFUNCTION("""COMPUTED_VALUE"""),150.77)</f>
        <v>150.77</v>
      </c>
      <c r="E3264" s="1">
        <f>IFERROR(__xludf.DUMMYFUNCTION("""COMPUTED_VALUE"""),151.79)</f>
        <v>151.79</v>
      </c>
      <c r="F3264" s="1">
        <f>IFERROR(__xludf.DUMMYFUNCTION("""COMPUTED_VALUE"""),400557.0)</f>
        <v>400557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IFERROR(__xludf.DUMMYFUNCTION("""COMPUTED_VALUE"""),152.99)</f>
        <v>152.99</v>
      </c>
      <c r="C3265" s="1">
        <f>IFERROR(__xludf.DUMMYFUNCTION("""COMPUTED_VALUE"""),154.73)</f>
        <v>154.73</v>
      </c>
      <c r="D3265" s="1">
        <f>IFERROR(__xludf.DUMMYFUNCTION("""COMPUTED_VALUE"""),152.3)</f>
        <v>152.3</v>
      </c>
      <c r="E3265" s="1">
        <f>IFERROR(__xludf.DUMMYFUNCTION("""COMPUTED_VALUE"""),153.32)</f>
        <v>153.32</v>
      </c>
      <c r="F3265" s="1">
        <f>IFERROR(__xludf.DUMMYFUNCTION("""COMPUTED_VALUE"""),66029.0)</f>
        <v>66029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IFERROR(__xludf.DUMMYFUNCTION("""COMPUTED_VALUE"""),153.0)</f>
        <v>153</v>
      </c>
      <c r="C3266" s="1">
        <f>IFERROR(__xludf.DUMMYFUNCTION("""COMPUTED_VALUE"""),154.28)</f>
        <v>154.28</v>
      </c>
      <c r="D3266" s="1">
        <f>IFERROR(__xludf.DUMMYFUNCTION("""COMPUTED_VALUE"""),151.56)</f>
        <v>151.56</v>
      </c>
      <c r="E3266" s="1">
        <f>IFERROR(__xludf.DUMMYFUNCTION("""COMPUTED_VALUE"""),151.78)</f>
        <v>151.78</v>
      </c>
      <c r="F3266" s="1">
        <f>IFERROR(__xludf.DUMMYFUNCTION("""COMPUTED_VALUE"""),69986.0)</f>
        <v>69986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IFERROR(__xludf.DUMMYFUNCTION("""COMPUTED_VALUE"""),152.59)</f>
        <v>152.59</v>
      </c>
      <c r="C3267" s="1">
        <f>IFERROR(__xludf.DUMMYFUNCTION("""COMPUTED_VALUE"""),155.08)</f>
        <v>155.08</v>
      </c>
      <c r="D3267" s="1">
        <f>IFERROR(__xludf.DUMMYFUNCTION("""COMPUTED_VALUE"""),152.21)</f>
        <v>152.21</v>
      </c>
      <c r="E3267" s="1">
        <f>IFERROR(__xludf.DUMMYFUNCTION("""COMPUTED_VALUE"""),154.34)</f>
        <v>154.34</v>
      </c>
      <c r="F3267" s="1">
        <f>IFERROR(__xludf.DUMMYFUNCTION("""COMPUTED_VALUE"""),75482.0)</f>
        <v>75482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IFERROR(__xludf.DUMMYFUNCTION("""COMPUTED_VALUE"""),153.12)</f>
        <v>153.12</v>
      </c>
      <c r="C3268" s="1">
        <f>IFERROR(__xludf.DUMMYFUNCTION("""COMPUTED_VALUE"""),154.5)</f>
        <v>154.5</v>
      </c>
      <c r="D3268" s="1">
        <f>IFERROR(__xludf.DUMMYFUNCTION("""COMPUTED_VALUE"""),151.85)</f>
        <v>151.85</v>
      </c>
      <c r="E3268" s="1">
        <f>IFERROR(__xludf.DUMMYFUNCTION("""COMPUTED_VALUE"""),153.2)</f>
        <v>153.2</v>
      </c>
      <c r="F3268" s="1">
        <f>IFERROR(__xludf.DUMMYFUNCTION("""COMPUTED_VALUE"""),52993.0)</f>
        <v>52993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IFERROR(__xludf.DUMMYFUNCTION("""COMPUTED_VALUE"""),153.84)</f>
        <v>153.84</v>
      </c>
      <c r="C3269" s="1">
        <f>IFERROR(__xludf.DUMMYFUNCTION("""COMPUTED_VALUE"""),156.18)</f>
        <v>156.18</v>
      </c>
      <c r="D3269" s="1">
        <f>IFERROR(__xludf.DUMMYFUNCTION("""COMPUTED_VALUE"""),152.77)</f>
        <v>152.77</v>
      </c>
      <c r="E3269" s="1">
        <f>IFERROR(__xludf.DUMMYFUNCTION("""COMPUTED_VALUE"""),153.4)</f>
        <v>153.4</v>
      </c>
      <c r="F3269" s="1">
        <f>IFERROR(__xludf.DUMMYFUNCTION("""COMPUTED_VALUE"""),75707.0)</f>
        <v>75707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IFERROR(__xludf.DUMMYFUNCTION("""COMPUTED_VALUE"""),153.37)</f>
        <v>153.37</v>
      </c>
      <c r="C3270" s="1">
        <f>IFERROR(__xludf.DUMMYFUNCTION("""COMPUTED_VALUE"""),154.65)</f>
        <v>154.65</v>
      </c>
      <c r="D3270" s="1">
        <f>IFERROR(__xludf.DUMMYFUNCTION("""COMPUTED_VALUE"""),152.09)</f>
        <v>152.09</v>
      </c>
      <c r="E3270" s="1">
        <f>IFERROR(__xludf.DUMMYFUNCTION("""COMPUTED_VALUE"""),152.09)</f>
        <v>152.09</v>
      </c>
      <c r="F3270" s="1">
        <f>IFERROR(__xludf.DUMMYFUNCTION("""COMPUTED_VALUE"""),59040.0)</f>
        <v>59040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IFERROR(__xludf.DUMMYFUNCTION("""COMPUTED_VALUE"""),152.85)</f>
        <v>152.85</v>
      </c>
      <c r="C3271" s="1">
        <f>IFERROR(__xludf.DUMMYFUNCTION("""COMPUTED_VALUE"""),153.0)</f>
        <v>153</v>
      </c>
      <c r="D3271" s="1">
        <f>IFERROR(__xludf.DUMMYFUNCTION("""COMPUTED_VALUE"""),150.78)</f>
        <v>150.78</v>
      </c>
      <c r="E3271" s="1">
        <f>IFERROR(__xludf.DUMMYFUNCTION("""COMPUTED_VALUE"""),150.78)</f>
        <v>150.78</v>
      </c>
      <c r="F3271" s="1">
        <f>IFERROR(__xludf.DUMMYFUNCTION("""COMPUTED_VALUE"""),52700.0)</f>
        <v>52700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IFERROR(__xludf.DUMMYFUNCTION("""COMPUTED_VALUE"""),151.23)</f>
        <v>151.23</v>
      </c>
      <c r="C3272" s="1">
        <f>IFERROR(__xludf.DUMMYFUNCTION("""COMPUTED_VALUE"""),152.66)</f>
        <v>152.66</v>
      </c>
      <c r="D3272" s="1">
        <f>IFERROR(__xludf.DUMMYFUNCTION("""COMPUTED_VALUE"""),150.16)</f>
        <v>150.16</v>
      </c>
      <c r="E3272" s="1">
        <f>IFERROR(__xludf.DUMMYFUNCTION("""COMPUTED_VALUE"""),151.94)</f>
        <v>151.94</v>
      </c>
      <c r="F3272" s="1">
        <f>IFERROR(__xludf.DUMMYFUNCTION("""COMPUTED_VALUE"""),85644.0)</f>
        <v>85644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IFERROR(__xludf.DUMMYFUNCTION("""COMPUTED_VALUE"""),151.05)</f>
        <v>151.05</v>
      </c>
      <c r="C3273" s="1">
        <f>IFERROR(__xludf.DUMMYFUNCTION("""COMPUTED_VALUE"""),152.23)</f>
        <v>152.23</v>
      </c>
      <c r="D3273" s="1">
        <f>IFERROR(__xludf.DUMMYFUNCTION("""COMPUTED_VALUE"""),148.0)</f>
        <v>148</v>
      </c>
      <c r="E3273" s="1">
        <f>IFERROR(__xludf.DUMMYFUNCTION("""COMPUTED_VALUE"""),149.71)</f>
        <v>149.71</v>
      </c>
      <c r="F3273" s="1">
        <f>IFERROR(__xludf.DUMMYFUNCTION("""COMPUTED_VALUE"""),92407.0)</f>
        <v>92407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IFERROR(__xludf.DUMMYFUNCTION("""COMPUTED_VALUE"""),150.14)</f>
        <v>150.14</v>
      </c>
      <c r="C3274" s="1">
        <f>IFERROR(__xludf.DUMMYFUNCTION("""COMPUTED_VALUE"""),151.92)</f>
        <v>151.92</v>
      </c>
      <c r="D3274" s="1">
        <f>IFERROR(__xludf.DUMMYFUNCTION("""COMPUTED_VALUE"""),147.08)</f>
        <v>147.08</v>
      </c>
      <c r="E3274" s="1">
        <f>IFERROR(__xludf.DUMMYFUNCTION("""COMPUTED_VALUE"""),151.48)</f>
        <v>151.48</v>
      </c>
      <c r="F3274" s="1">
        <f>IFERROR(__xludf.DUMMYFUNCTION("""COMPUTED_VALUE"""),91239.0)</f>
        <v>91239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IFERROR(__xludf.DUMMYFUNCTION("""COMPUTED_VALUE"""),151.52)</f>
        <v>151.52</v>
      </c>
      <c r="C3275" s="1">
        <f>IFERROR(__xludf.DUMMYFUNCTION("""COMPUTED_VALUE"""),153.09)</f>
        <v>153.09</v>
      </c>
      <c r="D3275" s="1">
        <f>IFERROR(__xludf.DUMMYFUNCTION("""COMPUTED_VALUE"""),150.24)</f>
        <v>150.24</v>
      </c>
      <c r="E3275" s="1">
        <f>IFERROR(__xludf.DUMMYFUNCTION("""COMPUTED_VALUE"""),151.22)</f>
        <v>151.22</v>
      </c>
      <c r="F3275" s="1">
        <f>IFERROR(__xludf.DUMMYFUNCTION("""COMPUTED_VALUE"""),53121.0)</f>
        <v>53121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IFERROR(__xludf.DUMMYFUNCTION("""COMPUTED_VALUE"""),150.32)</f>
        <v>150.32</v>
      </c>
      <c r="C3276" s="1">
        <f>IFERROR(__xludf.DUMMYFUNCTION("""COMPUTED_VALUE"""),153.0)</f>
        <v>153</v>
      </c>
      <c r="D3276" s="1">
        <f>IFERROR(__xludf.DUMMYFUNCTION("""COMPUTED_VALUE"""),148.69)</f>
        <v>148.69</v>
      </c>
      <c r="E3276" s="1">
        <f>IFERROR(__xludf.DUMMYFUNCTION("""COMPUTED_VALUE"""),149.6)</f>
        <v>149.6</v>
      </c>
      <c r="F3276" s="1">
        <f>IFERROR(__xludf.DUMMYFUNCTION("""COMPUTED_VALUE"""),61363.0)</f>
        <v>61363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IFERROR(__xludf.DUMMYFUNCTION("""COMPUTED_VALUE"""),150.9)</f>
        <v>150.9</v>
      </c>
      <c r="C3277" s="1">
        <f>IFERROR(__xludf.DUMMYFUNCTION("""COMPUTED_VALUE"""),153.32)</f>
        <v>153.32</v>
      </c>
      <c r="D3277" s="1">
        <f>IFERROR(__xludf.DUMMYFUNCTION("""COMPUTED_VALUE"""),149.85)</f>
        <v>149.85</v>
      </c>
      <c r="E3277" s="1">
        <f>IFERROR(__xludf.DUMMYFUNCTION("""COMPUTED_VALUE"""),152.64)</f>
        <v>152.64</v>
      </c>
      <c r="F3277" s="1">
        <f>IFERROR(__xludf.DUMMYFUNCTION("""COMPUTED_VALUE"""),57480.0)</f>
        <v>57480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IFERROR(__xludf.DUMMYFUNCTION("""COMPUTED_VALUE"""),152.14)</f>
        <v>152.14</v>
      </c>
      <c r="C3278" s="1">
        <f>IFERROR(__xludf.DUMMYFUNCTION("""COMPUTED_VALUE"""),152.49)</f>
        <v>152.49</v>
      </c>
      <c r="D3278" s="1">
        <f>IFERROR(__xludf.DUMMYFUNCTION("""COMPUTED_VALUE"""),149.4)</f>
        <v>149.4</v>
      </c>
      <c r="E3278" s="1">
        <f>IFERROR(__xludf.DUMMYFUNCTION("""COMPUTED_VALUE"""),149.61)</f>
        <v>149.61</v>
      </c>
      <c r="F3278" s="1">
        <f>IFERROR(__xludf.DUMMYFUNCTION("""COMPUTED_VALUE"""),64390.0)</f>
        <v>64390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IFERROR(__xludf.DUMMYFUNCTION("""COMPUTED_VALUE"""),150.02)</f>
        <v>150.02</v>
      </c>
      <c r="C3279" s="1">
        <f>IFERROR(__xludf.DUMMYFUNCTION("""COMPUTED_VALUE"""),151.06)</f>
        <v>151.06</v>
      </c>
      <c r="D3279" s="1">
        <f>IFERROR(__xludf.DUMMYFUNCTION("""COMPUTED_VALUE"""),148.88)</f>
        <v>148.88</v>
      </c>
      <c r="E3279" s="1">
        <f>IFERROR(__xludf.DUMMYFUNCTION("""COMPUTED_VALUE"""),149.87)</f>
        <v>149.87</v>
      </c>
      <c r="F3279" s="1">
        <f>IFERROR(__xludf.DUMMYFUNCTION("""COMPUTED_VALUE"""),113998.0)</f>
        <v>113998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IFERROR(__xludf.DUMMYFUNCTION("""COMPUTED_VALUE"""),150.7)</f>
        <v>150.7</v>
      </c>
      <c r="C3280" s="1">
        <f>IFERROR(__xludf.DUMMYFUNCTION("""COMPUTED_VALUE"""),152.54)</f>
        <v>152.54</v>
      </c>
      <c r="D3280" s="1">
        <f>IFERROR(__xludf.DUMMYFUNCTION("""COMPUTED_VALUE"""),149.32)</f>
        <v>149.32</v>
      </c>
      <c r="E3280" s="1">
        <f>IFERROR(__xludf.DUMMYFUNCTION("""COMPUTED_VALUE"""),152.39)</f>
        <v>152.39</v>
      </c>
      <c r="F3280" s="1">
        <f>IFERROR(__xludf.DUMMYFUNCTION("""COMPUTED_VALUE"""),57646.0)</f>
        <v>57646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IFERROR(__xludf.DUMMYFUNCTION("""COMPUTED_VALUE"""),152.88)</f>
        <v>152.88</v>
      </c>
      <c r="C3281" s="1">
        <f>IFERROR(__xludf.DUMMYFUNCTION("""COMPUTED_VALUE"""),153.1)</f>
        <v>153.1</v>
      </c>
      <c r="D3281" s="1">
        <f>IFERROR(__xludf.DUMMYFUNCTION("""COMPUTED_VALUE"""),149.82)</f>
        <v>149.82</v>
      </c>
      <c r="E3281" s="1">
        <f>IFERROR(__xludf.DUMMYFUNCTION("""COMPUTED_VALUE"""),152.43)</f>
        <v>152.43</v>
      </c>
      <c r="F3281" s="1">
        <f>IFERROR(__xludf.DUMMYFUNCTION("""COMPUTED_VALUE"""),71361.0)</f>
        <v>71361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IFERROR(__xludf.DUMMYFUNCTION("""COMPUTED_VALUE"""),151.57)</f>
        <v>151.57</v>
      </c>
      <c r="C3282" s="1">
        <f>IFERROR(__xludf.DUMMYFUNCTION("""COMPUTED_VALUE"""),154.67)</f>
        <v>154.67</v>
      </c>
      <c r="D3282" s="1">
        <f>IFERROR(__xludf.DUMMYFUNCTION("""COMPUTED_VALUE"""),150.5)</f>
        <v>150.5</v>
      </c>
      <c r="E3282" s="1">
        <f>IFERROR(__xludf.DUMMYFUNCTION("""COMPUTED_VALUE"""),154.49)</f>
        <v>154.49</v>
      </c>
      <c r="F3282" s="1">
        <f>IFERROR(__xludf.DUMMYFUNCTION("""COMPUTED_VALUE"""),51470.0)</f>
        <v>51470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IFERROR(__xludf.DUMMYFUNCTION("""COMPUTED_VALUE"""),153.94)</f>
        <v>153.94</v>
      </c>
      <c r="C3283" s="1">
        <f>IFERROR(__xludf.DUMMYFUNCTION("""COMPUTED_VALUE"""),157.09)</f>
        <v>157.09</v>
      </c>
      <c r="D3283" s="1">
        <f>IFERROR(__xludf.DUMMYFUNCTION("""COMPUTED_VALUE"""),153.66)</f>
        <v>153.66</v>
      </c>
      <c r="E3283" s="1">
        <f>IFERROR(__xludf.DUMMYFUNCTION("""COMPUTED_VALUE"""),154.22)</f>
        <v>154.22</v>
      </c>
      <c r="F3283" s="1">
        <f>IFERROR(__xludf.DUMMYFUNCTION("""COMPUTED_VALUE"""),67968.0)</f>
        <v>67968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IFERROR(__xludf.DUMMYFUNCTION("""COMPUTED_VALUE"""),154.26)</f>
        <v>154.26</v>
      </c>
      <c r="C3284" s="1">
        <f>IFERROR(__xludf.DUMMYFUNCTION("""COMPUTED_VALUE"""),154.46)</f>
        <v>154.46</v>
      </c>
      <c r="D3284" s="1">
        <f>IFERROR(__xludf.DUMMYFUNCTION("""COMPUTED_VALUE"""),147.62)</f>
        <v>147.62</v>
      </c>
      <c r="E3284" s="1">
        <f>IFERROR(__xludf.DUMMYFUNCTION("""COMPUTED_VALUE"""),148.41)</f>
        <v>148.41</v>
      </c>
      <c r="F3284" s="1">
        <f>IFERROR(__xludf.DUMMYFUNCTION("""COMPUTED_VALUE"""),84390.0)</f>
        <v>84390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IFERROR(__xludf.DUMMYFUNCTION("""COMPUTED_VALUE"""),148.41)</f>
        <v>148.41</v>
      </c>
      <c r="C3285" s="1">
        <f>IFERROR(__xludf.DUMMYFUNCTION("""COMPUTED_VALUE"""),152.53)</f>
        <v>152.53</v>
      </c>
      <c r="D3285" s="1">
        <f>IFERROR(__xludf.DUMMYFUNCTION("""COMPUTED_VALUE"""),146.56)</f>
        <v>146.56</v>
      </c>
      <c r="E3285" s="1">
        <f>IFERROR(__xludf.DUMMYFUNCTION("""COMPUTED_VALUE"""),147.29)</f>
        <v>147.29</v>
      </c>
      <c r="F3285" s="1">
        <f>IFERROR(__xludf.DUMMYFUNCTION("""COMPUTED_VALUE"""),92532.0)</f>
        <v>92532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IFERROR(__xludf.DUMMYFUNCTION("""COMPUTED_VALUE"""),148.57)</f>
        <v>148.57</v>
      </c>
      <c r="C3286" s="1">
        <f>IFERROR(__xludf.DUMMYFUNCTION("""COMPUTED_VALUE"""),148.96)</f>
        <v>148.96</v>
      </c>
      <c r="D3286" s="1">
        <f>IFERROR(__xludf.DUMMYFUNCTION("""COMPUTED_VALUE"""),143.88)</f>
        <v>143.88</v>
      </c>
      <c r="E3286" s="1">
        <f>IFERROR(__xludf.DUMMYFUNCTION("""COMPUTED_VALUE"""),144.25)</f>
        <v>144.25</v>
      </c>
      <c r="F3286" s="1">
        <f>IFERROR(__xludf.DUMMYFUNCTION("""COMPUTED_VALUE"""),102128.0)</f>
        <v>102128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IFERROR(__xludf.DUMMYFUNCTION("""COMPUTED_VALUE"""),145.27)</f>
        <v>145.27</v>
      </c>
      <c r="C3287" s="1">
        <f>IFERROR(__xludf.DUMMYFUNCTION("""COMPUTED_VALUE"""),146.79)</f>
        <v>146.79</v>
      </c>
      <c r="D3287" s="1">
        <f>IFERROR(__xludf.DUMMYFUNCTION("""COMPUTED_VALUE"""),144.28)</f>
        <v>144.28</v>
      </c>
      <c r="E3287" s="1">
        <f>IFERROR(__xludf.DUMMYFUNCTION("""COMPUTED_VALUE"""),144.6)</f>
        <v>144.6</v>
      </c>
      <c r="F3287" s="1">
        <f>IFERROR(__xludf.DUMMYFUNCTION("""COMPUTED_VALUE"""),60258.0)</f>
        <v>60258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IFERROR(__xludf.DUMMYFUNCTION("""COMPUTED_VALUE"""),144.71)</f>
        <v>144.71</v>
      </c>
      <c r="C3288" s="1">
        <f>IFERROR(__xludf.DUMMYFUNCTION("""COMPUTED_VALUE"""),150.26)</f>
        <v>150.26</v>
      </c>
      <c r="D3288" s="1">
        <f>IFERROR(__xludf.DUMMYFUNCTION("""COMPUTED_VALUE"""),144.03)</f>
        <v>144.03</v>
      </c>
      <c r="E3288" s="1">
        <f>IFERROR(__xludf.DUMMYFUNCTION("""COMPUTED_VALUE"""),150.15)</f>
        <v>150.15</v>
      </c>
      <c r="F3288" s="1">
        <f>IFERROR(__xludf.DUMMYFUNCTION("""COMPUTED_VALUE"""),83925.0)</f>
        <v>83925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IFERROR(__xludf.DUMMYFUNCTION("""COMPUTED_VALUE"""),149.49)</f>
        <v>149.49</v>
      </c>
      <c r="C3289" s="1">
        <f>IFERROR(__xludf.DUMMYFUNCTION("""COMPUTED_VALUE"""),152.15)</f>
        <v>152.15</v>
      </c>
      <c r="D3289" s="1">
        <f>IFERROR(__xludf.DUMMYFUNCTION("""COMPUTED_VALUE"""),148.34)</f>
        <v>148.34</v>
      </c>
      <c r="E3289" s="1">
        <f>IFERROR(__xludf.DUMMYFUNCTION("""COMPUTED_VALUE"""),151.93)</f>
        <v>151.93</v>
      </c>
      <c r="F3289" s="1">
        <f>IFERROR(__xludf.DUMMYFUNCTION("""COMPUTED_VALUE"""),117959.0)</f>
        <v>117959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IFERROR(__xludf.DUMMYFUNCTION("""COMPUTED_VALUE"""),151.67)</f>
        <v>151.67</v>
      </c>
      <c r="C3290" s="1">
        <f>IFERROR(__xludf.DUMMYFUNCTION("""COMPUTED_VALUE"""),152.86)</f>
        <v>152.86</v>
      </c>
      <c r="D3290" s="1">
        <f>IFERROR(__xludf.DUMMYFUNCTION("""COMPUTED_VALUE"""),149.6)</f>
        <v>149.6</v>
      </c>
      <c r="E3290" s="1">
        <f>IFERROR(__xludf.DUMMYFUNCTION("""COMPUTED_VALUE"""),150.43)</f>
        <v>150.43</v>
      </c>
      <c r="F3290" s="1">
        <f>IFERROR(__xludf.DUMMYFUNCTION("""COMPUTED_VALUE"""),68283.0)</f>
        <v>68283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IFERROR(__xludf.DUMMYFUNCTION("""COMPUTED_VALUE"""),149.76)</f>
        <v>149.76</v>
      </c>
      <c r="C3291" s="1">
        <f>IFERROR(__xludf.DUMMYFUNCTION("""COMPUTED_VALUE"""),150.2)</f>
        <v>150.2</v>
      </c>
      <c r="D3291" s="1">
        <f>IFERROR(__xludf.DUMMYFUNCTION("""COMPUTED_VALUE"""),147.7)</f>
        <v>147.7</v>
      </c>
      <c r="E3291" s="1">
        <f>IFERROR(__xludf.DUMMYFUNCTION("""COMPUTED_VALUE"""),149.64)</f>
        <v>149.64</v>
      </c>
      <c r="F3291" s="1">
        <f>IFERROR(__xludf.DUMMYFUNCTION("""COMPUTED_VALUE"""),52115.0)</f>
        <v>52115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IFERROR(__xludf.DUMMYFUNCTION("""COMPUTED_VALUE"""),148.63)</f>
        <v>148.63</v>
      </c>
      <c r="C3292" s="1">
        <f>IFERROR(__xludf.DUMMYFUNCTION("""COMPUTED_VALUE"""),150.71)</f>
        <v>150.71</v>
      </c>
      <c r="D3292" s="1">
        <f>IFERROR(__xludf.DUMMYFUNCTION("""COMPUTED_VALUE"""),146.91)</f>
        <v>146.91</v>
      </c>
      <c r="E3292" s="1">
        <f>IFERROR(__xludf.DUMMYFUNCTION("""COMPUTED_VALUE"""),149.12)</f>
        <v>149.12</v>
      </c>
      <c r="F3292" s="1">
        <f>IFERROR(__xludf.DUMMYFUNCTION("""COMPUTED_VALUE"""),73861.0)</f>
        <v>73861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IFERROR(__xludf.DUMMYFUNCTION("""COMPUTED_VALUE"""),145.02)</f>
        <v>145.02</v>
      </c>
      <c r="C3293" s="1">
        <f>IFERROR(__xludf.DUMMYFUNCTION("""COMPUTED_VALUE"""),150.45)</f>
        <v>150.45</v>
      </c>
      <c r="D3293" s="1">
        <f>IFERROR(__xludf.DUMMYFUNCTION("""COMPUTED_VALUE"""),133.27)</f>
        <v>133.27</v>
      </c>
      <c r="E3293" s="1">
        <f>IFERROR(__xludf.DUMMYFUNCTION("""COMPUTED_VALUE"""),143.3)</f>
        <v>143.3</v>
      </c>
      <c r="F3293" s="1">
        <f>IFERROR(__xludf.DUMMYFUNCTION("""COMPUTED_VALUE"""),354208.0)</f>
        <v>354208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IFERROR(__xludf.DUMMYFUNCTION("""COMPUTED_VALUE"""),142.79)</f>
        <v>142.79</v>
      </c>
      <c r="C3294" s="1">
        <f>IFERROR(__xludf.DUMMYFUNCTION("""COMPUTED_VALUE"""),144.59)</f>
        <v>144.59</v>
      </c>
      <c r="D3294" s="1">
        <f>IFERROR(__xludf.DUMMYFUNCTION("""COMPUTED_VALUE"""),137.92)</f>
        <v>137.92</v>
      </c>
      <c r="E3294" s="1">
        <f>IFERROR(__xludf.DUMMYFUNCTION("""COMPUTED_VALUE"""),138.89)</f>
        <v>138.89</v>
      </c>
      <c r="F3294" s="1">
        <f>IFERROR(__xludf.DUMMYFUNCTION("""COMPUTED_VALUE"""),208285.0)</f>
        <v>208285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IFERROR(__xludf.DUMMYFUNCTION("""COMPUTED_VALUE"""),140.5)</f>
        <v>140.5</v>
      </c>
      <c r="C3295" s="1">
        <f>IFERROR(__xludf.DUMMYFUNCTION("""COMPUTED_VALUE"""),141.39)</f>
        <v>141.39</v>
      </c>
      <c r="D3295" s="1">
        <f>IFERROR(__xludf.DUMMYFUNCTION("""COMPUTED_VALUE"""),136.82)</f>
        <v>136.82</v>
      </c>
      <c r="E3295" s="1">
        <f>IFERROR(__xludf.DUMMYFUNCTION("""COMPUTED_VALUE"""),140.87)</f>
        <v>140.87</v>
      </c>
      <c r="F3295" s="1">
        <f>IFERROR(__xludf.DUMMYFUNCTION("""COMPUTED_VALUE"""),147547.0)</f>
        <v>147547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IFERROR(__xludf.DUMMYFUNCTION("""COMPUTED_VALUE"""),140.85)</f>
        <v>140.85</v>
      </c>
      <c r="C3296" s="1">
        <f>IFERROR(__xludf.DUMMYFUNCTION("""COMPUTED_VALUE"""),141.44)</f>
        <v>141.44</v>
      </c>
      <c r="D3296" s="1">
        <f>IFERROR(__xludf.DUMMYFUNCTION("""COMPUTED_VALUE"""),139.38)</f>
        <v>139.38</v>
      </c>
      <c r="E3296" s="1">
        <f>IFERROR(__xludf.DUMMYFUNCTION("""COMPUTED_VALUE"""),141.23)</f>
        <v>141.23</v>
      </c>
      <c r="F3296" s="1">
        <f>IFERROR(__xludf.DUMMYFUNCTION("""COMPUTED_VALUE"""),138579.0)</f>
        <v>138579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IFERROR(__xludf.DUMMYFUNCTION("""COMPUTED_VALUE"""),139.95)</f>
        <v>139.95</v>
      </c>
      <c r="C3297" s="1">
        <f>IFERROR(__xludf.DUMMYFUNCTION("""COMPUTED_VALUE"""),143.27)</f>
        <v>143.27</v>
      </c>
      <c r="D3297" s="1">
        <f>IFERROR(__xludf.DUMMYFUNCTION("""COMPUTED_VALUE"""),139.67)</f>
        <v>139.67</v>
      </c>
      <c r="E3297" s="1">
        <f>IFERROR(__xludf.DUMMYFUNCTION("""COMPUTED_VALUE"""),142.32)</f>
        <v>142.32</v>
      </c>
      <c r="F3297" s="1">
        <f>IFERROR(__xludf.DUMMYFUNCTION("""COMPUTED_VALUE"""),118126.0)</f>
        <v>118126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IFERROR(__xludf.DUMMYFUNCTION("""COMPUTED_VALUE"""),141.85)</f>
        <v>141.85</v>
      </c>
      <c r="C3298" s="1">
        <f>IFERROR(__xludf.DUMMYFUNCTION("""COMPUTED_VALUE"""),143.98)</f>
        <v>143.98</v>
      </c>
      <c r="D3298" s="1">
        <f>IFERROR(__xludf.DUMMYFUNCTION("""COMPUTED_VALUE"""),140.56)</f>
        <v>140.56</v>
      </c>
      <c r="E3298" s="1">
        <f>IFERROR(__xludf.DUMMYFUNCTION("""COMPUTED_VALUE"""),143.85)</f>
        <v>143.85</v>
      </c>
      <c r="F3298" s="1">
        <f>IFERROR(__xludf.DUMMYFUNCTION("""COMPUTED_VALUE"""),105245.0)</f>
        <v>105245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IFERROR(__xludf.DUMMYFUNCTION("""COMPUTED_VALUE"""),142.72)</f>
        <v>142.72</v>
      </c>
      <c r="C3299" s="1">
        <f>IFERROR(__xludf.DUMMYFUNCTION("""COMPUTED_VALUE"""),142.94)</f>
        <v>142.94</v>
      </c>
      <c r="D3299" s="1">
        <f>IFERROR(__xludf.DUMMYFUNCTION("""COMPUTED_VALUE"""),141.64)</f>
        <v>141.64</v>
      </c>
      <c r="E3299" s="1">
        <f>IFERROR(__xludf.DUMMYFUNCTION("""COMPUTED_VALUE"""),141.79)</f>
        <v>141.79</v>
      </c>
      <c r="F3299" s="1">
        <f>IFERROR(__xludf.DUMMYFUNCTION("""COMPUTED_VALUE"""),53425.0)</f>
        <v>53425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IFERROR(__xludf.DUMMYFUNCTION("""COMPUTED_VALUE"""),143.03)</f>
        <v>143.03</v>
      </c>
      <c r="C3300" s="1">
        <f>IFERROR(__xludf.DUMMYFUNCTION("""COMPUTED_VALUE"""),144.92)</f>
        <v>144.92</v>
      </c>
      <c r="D3300" s="1">
        <f>IFERROR(__xludf.DUMMYFUNCTION("""COMPUTED_VALUE"""),140.11)</f>
        <v>140.11</v>
      </c>
      <c r="E3300" s="1">
        <f>IFERROR(__xludf.DUMMYFUNCTION("""COMPUTED_VALUE"""),140.83)</f>
        <v>140.83</v>
      </c>
      <c r="F3300" s="1">
        <f>IFERROR(__xludf.DUMMYFUNCTION("""COMPUTED_VALUE"""),52849.0)</f>
        <v>52849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IFERROR(__xludf.DUMMYFUNCTION("""COMPUTED_VALUE"""),140.39)</f>
        <v>140.39</v>
      </c>
      <c r="C3301" s="1">
        <f>IFERROR(__xludf.DUMMYFUNCTION("""COMPUTED_VALUE"""),141.6)</f>
        <v>141.6</v>
      </c>
      <c r="D3301" s="1">
        <f>IFERROR(__xludf.DUMMYFUNCTION("""COMPUTED_VALUE"""),139.96)</f>
        <v>139.96</v>
      </c>
      <c r="E3301" s="1">
        <f>IFERROR(__xludf.DUMMYFUNCTION("""COMPUTED_VALUE"""),140.65)</f>
        <v>140.65</v>
      </c>
      <c r="F3301" s="1">
        <f>IFERROR(__xludf.DUMMYFUNCTION("""COMPUTED_VALUE"""),67680.0)</f>
        <v>67680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IFERROR(__xludf.DUMMYFUNCTION("""COMPUTED_VALUE"""),140.36)</f>
        <v>140.36</v>
      </c>
      <c r="C3302" s="1">
        <f>IFERROR(__xludf.DUMMYFUNCTION("""COMPUTED_VALUE"""),144.06)</f>
        <v>144.06</v>
      </c>
      <c r="D3302" s="1">
        <f>IFERROR(__xludf.DUMMYFUNCTION("""COMPUTED_VALUE"""),140.3)</f>
        <v>140.3</v>
      </c>
      <c r="E3302" s="1">
        <f>IFERROR(__xludf.DUMMYFUNCTION("""COMPUTED_VALUE"""),143.55)</f>
        <v>143.55</v>
      </c>
      <c r="F3302" s="1">
        <f>IFERROR(__xludf.DUMMYFUNCTION("""COMPUTED_VALUE"""),67804.0)</f>
        <v>67804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IFERROR(__xludf.DUMMYFUNCTION("""COMPUTED_VALUE"""),143.81)</f>
        <v>143.81</v>
      </c>
      <c r="C3303" s="1">
        <f>IFERROR(__xludf.DUMMYFUNCTION("""COMPUTED_VALUE"""),143.81)</f>
        <v>143.81</v>
      </c>
      <c r="D3303" s="1">
        <f>IFERROR(__xludf.DUMMYFUNCTION("""COMPUTED_VALUE"""),140.6)</f>
        <v>140.6</v>
      </c>
      <c r="E3303" s="1">
        <f>IFERROR(__xludf.DUMMYFUNCTION("""COMPUTED_VALUE"""),140.67)</f>
        <v>140.67</v>
      </c>
      <c r="F3303" s="1">
        <f>IFERROR(__xludf.DUMMYFUNCTION("""COMPUTED_VALUE"""),52630.0)</f>
        <v>52630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IFERROR(__xludf.DUMMYFUNCTION("""COMPUTED_VALUE"""),139.9)</f>
        <v>139.9</v>
      </c>
      <c r="C3304" s="1">
        <f>IFERROR(__xludf.DUMMYFUNCTION("""COMPUTED_VALUE"""),141.43)</f>
        <v>141.43</v>
      </c>
      <c r="D3304" s="1">
        <f>IFERROR(__xludf.DUMMYFUNCTION("""COMPUTED_VALUE"""),139.33)</f>
        <v>139.33</v>
      </c>
      <c r="E3304" s="1">
        <f>IFERROR(__xludf.DUMMYFUNCTION("""COMPUTED_VALUE"""),140.76)</f>
        <v>140.76</v>
      </c>
      <c r="F3304" s="1">
        <f>IFERROR(__xludf.DUMMYFUNCTION("""COMPUTED_VALUE"""),53389.0)</f>
        <v>53389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IFERROR(__xludf.DUMMYFUNCTION("""COMPUTED_VALUE"""),140.01)</f>
        <v>140.01</v>
      </c>
      <c r="C3305" s="1">
        <f>IFERROR(__xludf.DUMMYFUNCTION("""COMPUTED_VALUE"""),141.26)</f>
        <v>141.26</v>
      </c>
      <c r="D3305" s="1">
        <f>IFERROR(__xludf.DUMMYFUNCTION("""COMPUTED_VALUE"""),138.97)</f>
        <v>138.97</v>
      </c>
      <c r="E3305" s="1">
        <f>IFERROR(__xludf.DUMMYFUNCTION("""COMPUTED_VALUE"""),139.64)</f>
        <v>139.64</v>
      </c>
      <c r="F3305" s="1">
        <f>IFERROR(__xludf.DUMMYFUNCTION("""COMPUTED_VALUE"""),69231.0)</f>
        <v>69231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IFERROR(__xludf.DUMMYFUNCTION("""COMPUTED_VALUE"""),140.44)</f>
        <v>140.44</v>
      </c>
      <c r="C3306" s="1">
        <f>IFERROR(__xludf.DUMMYFUNCTION("""COMPUTED_VALUE"""),142.63)</f>
        <v>142.63</v>
      </c>
      <c r="D3306" s="1">
        <f>IFERROR(__xludf.DUMMYFUNCTION("""COMPUTED_VALUE"""),138.29)</f>
        <v>138.29</v>
      </c>
      <c r="E3306" s="1">
        <f>IFERROR(__xludf.DUMMYFUNCTION("""COMPUTED_VALUE"""),142.52)</f>
        <v>142.52</v>
      </c>
      <c r="F3306" s="1">
        <f>IFERROR(__xludf.DUMMYFUNCTION("""COMPUTED_VALUE"""),55515.0)</f>
        <v>55515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IFERROR(__xludf.DUMMYFUNCTION("""COMPUTED_VALUE"""),141.68)</f>
        <v>141.68</v>
      </c>
      <c r="C3307" s="1">
        <f>IFERROR(__xludf.DUMMYFUNCTION("""COMPUTED_VALUE"""),144.97)</f>
        <v>144.97</v>
      </c>
      <c r="D3307" s="1">
        <f>IFERROR(__xludf.DUMMYFUNCTION("""COMPUTED_VALUE"""),140.35)</f>
        <v>140.35</v>
      </c>
      <c r="E3307" s="1">
        <f>IFERROR(__xludf.DUMMYFUNCTION("""COMPUTED_VALUE"""),143.83)</f>
        <v>143.83</v>
      </c>
      <c r="F3307" s="1">
        <f>IFERROR(__xludf.DUMMYFUNCTION("""COMPUTED_VALUE"""),71678.0)</f>
        <v>71678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IFERROR(__xludf.DUMMYFUNCTION("""COMPUTED_VALUE"""),144.22)</f>
        <v>144.22</v>
      </c>
      <c r="C3308" s="1">
        <f>IFERROR(__xludf.DUMMYFUNCTION("""COMPUTED_VALUE"""),145.91)</f>
        <v>145.91</v>
      </c>
      <c r="D3308" s="1">
        <f>IFERROR(__xludf.DUMMYFUNCTION("""COMPUTED_VALUE"""),142.97)</f>
        <v>142.97</v>
      </c>
      <c r="E3308" s="1">
        <f>IFERROR(__xludf.DUMMYFUNCTION("""COMPUTED_VALUE"""),145.1)</f>
        <v>145.1</v>
      </c>
      <c r="F3308" s="1">
        <f>IFERROR(__xludf.DUMMYFUNCTION("""COMPUTED_VALUE"""),93140.0)</f>
        <v>93140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IFERROR(__xludf.DUMMYFUNCTION("""COMPUTED_VALUE"""),145.23)</f>
        <v>145.23</v>
      </c>
      <c r="C3309" s="1">
        <f>IFERROR(__xludf.DUMMYFUNCTION("""COMPUTED_VALUE"""),146.4)</f>
        <v>146.4</v>
      </c>
      <c r="D3309" s="1">
        <f>IFERROR(__xludf.DUMMYFUNCTION("""COMPUTED_VALUE"""),143.63)</f>
        <v>143.63</v>
      </c>
      <c r="E3309" s="1">
        <f>IFERROR(__xludf.DUMMYFUNCTION("""COMPUTED_VALUE"""),144.62)</f>
        <v>144.62</v>
      </c>
      <c r="F3309" s="1">
        <f>IFERROR(__xludf.DUMMYFUNCTION("""COMPUTED_VALUE"""),67240.0)</f>
        <v>67240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IFERROR(__xludf.DUMMYFUNCTION("""COMPUTED_VALUE"""),143.98)</f>
        <v>143.98</v>
      </c>
      <c r="C3310" s="1">
        <f>IFERROR(__xludf.DUMMYFUNCTION("""COMPUTED_VALUE"""),145.72)</f>
        <v>145.72</v>
      </c>
      <c r="D3310" s="1">
        <f>IFERROR(__xludf.DUMMYFUNCTION("""COMPUTED_VALUE"""),139.73)</f>
        <v>139.73</v>
      </c>
      <c r="E3310" s="1">
        <f>IFERROR(__xludf.DUMMYFUNCTION("""COMPUTED_VALUE"""),143.75)</f>
        <v>143.75</v>
      </c>
      <c r="F3310" s="1">
        <f>IFERROR(__xludf.DUMMYFUNCTION("""COMPUTED_VALUE"""),51221.0)</f>
        <v>51221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IFERROR(__xludf.DUMMYFUNCTION("""COMPUTED_VALUE"""),143.36)</f>
        <v>143.36</v>
      </c>
      <c r="C3311" s="1">
        <f>IFERROR(__xludf.DUMMYFUNCTION("""COMPUTED_VALUE"""),145.24)</f>
        <v>145.24</v>
      </c>
      <c r="D3311" s="1">
        <f>IFERROR(__xludf.DUMMYFUNCTION("""COMPUTED_VALUE"""),142.71)</f>
        <v>142.71</v>
      </c>
      <c r="E3311" s="1">
        <f>IFERROR(__xludf.DUMMYFUNCTION("""COMPUTED_VALUE"""),143.52)</f>
        <v>143.52</v>
      </c>
      <c r="F3311" s="1">
        <f>IFERROR(__xludf.DUMMYFUNCTION("""COMPUTED_VALUE"""),69791.0)</f>
        <v>69791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IFERROR(__xludf.DUMMYFUNCTION("""COMPUTED_VALUE"""),142.96)</f>
        <v>142.96</v>
      </c>
      <c r="C3312" s="1">
        <f>IFERROR(__xludf.DUMMYFUNCTION("""COMPUTED_VALUE"""),143.53)</f>
        <v>143.53</v>
      </c>
      <c r="D3312" s="1">
        <f>IFERROR(__xludf.DUMMYFUNCTION("""COMPUTED_VALUE"""),141.21)</f>
        <v>141.21</v>
      </c>
      <c r="E3312" s="1">
        <f>IFERROR(__xludf.DUMMYFUNCTION("""COMPUTED_VALUE"""),141.21)</f>
        <v>141.21</v>
      </c>
      <c r="F3312" s="1">
        <f>IFERROR(__xludf.DUMMYFUNCTION("""COMPUTED_VALUE"""),81006.0)</f>
        <v>81006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IFERROR(__xludf.DUMMYFUNCTION("""COMPUTED_VALUE"""),140.61)</f>
        <v>140.61</v>
      </c>
      <c r="C3313" s="1">
        <f>IFERROR(__xludf.DUMMYFUNCTION("""COMPUTED_VALUE"""),140.8)</f>
        <v>140.8</v>
      </c>
      <c r="D3313" s="1">
        <f>IFERROR(__xludf.DUMMYFUNCTION("""COMPUTED_VALUE"""),138.59)</f>
        <v>138.59</v>
      </c>
      <c r="E3313" s="1">
        <f>IFERROR(__xludf.DUMMYFUNCTION("""COMPUTED_VALUE"""),140.52)</f>
        <v>140.52</v>
      </c>
      <c r="F3313" s="1">
        <f>IFERROR(__xludf.DUMMYFUNCTION("""COMPUTED_VALUE"""),77442.0)</f>
        <v>77442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IFERROR(__xludf.DUMMYFUNCTION("""COMPUTED_VALUE"""),139.78)</f>
        <v>139.78</v>
      </c>
      <c r="C3314" s="1">
        <f>IFERROR(__xludf.DUMMYFUNCTION("""COMPUTED_VALUE"""),143.58)</f>
        <v>143.58</v>
      </c>
      <c r="D3314" s="1">
        <f>IFERROR(__xludf.DUMMYFUNCTION("""COMPUTED_VALUE"""),139.24)</f>
        <v>139.24</v>
      </c>
      <c r="E3314" s="1">
        <f>IFERROR(__xludf.DUMMYFUNCTION("""COMPUTED_VALUE"""),143.17)</f>
        <v>143.17</v>
      </c>
      <c r="F3314" s="1">
        <f>IFERROR(__xludf.DUMMYFUNCTION("""COMPUTED_VALUE"""),61812.0)</f>
        <v>61812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IFERROR(__xludf.DUMMYFUNCTION("""COMPUTED_VALUE"""),142.7)</f>
        <v>142.7</v>
      </c>
      <c r="C3315" s="1">
        <f>IFERROR(__xludf.DUMMYFUNCTION("""COMPUTED_VALUE"""),143.9)</f>
        <v>143.9</v>
      </c>
      <c r="D3315" s="1">
        <f>IFERROR(__xludf.DUMMYFUNCTION("""COMPUTED_VALUE"""),141.18)</f>
        <v>141.18</v>
      </c>
      <c r="E3315" s="1">
        <f>IFERROR(__xludf.DUMMYFUNCTION("""COMPUTED_VALUE"""),143.64)</f>
        <v>143.64</v>
      </c>
      <c r="F3315" s="1">
        <f>IFERROR(__xludf.DUMMYFUNCTION("""COMPUTED_VALUE"""),55334.0)</f>
        <v>55334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IFERROR(__xludf.DUMMYFUNCTION("""COMPUTED_VALUE"""),142.84)</f>
        <v>142.84</v>
      </c>
      <c r="C3316" s="1">
        <f>IFERROR(__xludf.DUMMYFUNCTION("""COMPUTED_VALUE"""),143.34)</f>
        <v>143.34</v>
      </c>
      <c r="D3316" s="1">
        <f>IFERROR(__xludf.DUMMYFUNCTION("""COMPUTED_VALUE"""),138.81)</f>
        <v>138.81</v>
      </c>
      <c r="E3316" s="1">
        <f>IFERROR(__xludf.DUMMYFUNCTION("""COMPUTED_VALUE"""),140.19)</f>
        <v>140.19</v>
      </c>
      <c r="F3316" s="1">
        <f>IFERROR(__xludf.DUMMYFUNCTION("""COMPUTED_VALUE"""),105640.0)</f>
        <v>105640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IFERROR(__xludf.DUMMYFUNCTION("""COMPUTED_VALUE"""),139.68)</f>
        <v>139.68</v>
      </c>
      <c r="C3317" s="1">
        <f>IFERROR(__xludf.DUMMYFUNCTION("""COMPUTED_VALUE"""),140.36)</f>
        <v>140.36</v>
      </c>
      <c r="D3317" s="1">
        <f>IFERROR(__xludf.DUMMYFUNCTION("""COMPUTED_VALUE"""),138.24)</f>
        <v>138.24</v>
      </c>
      <c r="E3317" s="1">
        <f>IFERROR(__xludf.DUMMYFUNCTION("""COMPUTED_VALUE"""),139.73)</f>
        <v>139.73</v>
      </c>
      <c r="F3317" s="1">
        <f>IFERROR(__xludf.DUMMYFUNCTION("""COMPUTED_VALUE"""),88463.0)</f>
        <v>88463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IFERROR(__xludf.DUMMYFUNCTION("""COMPUTED_VALUE"""),139.84)</f>
        <v>139.84</v>
      </c>
      <c r="C3318" s="1">
        <f>IFERROR(__xludf.DUMMYFUNCTION("""COMPUTED_VALUE"""),142.01)</f>
        <v>142.01</v>
      </c>
      <c r="D3318" s="1">
        <f>IFERROR(__xludf.DUMMYFUNCTION("""COMPUTED_VALUE"""),139.72)</f>
        <v>139.72</v>
      </c>
      <c r="E3318" s="1">
        <f>IFERROR(__xludf.DUMMYFUNCTION("""COMPUTED_VALUE"""),141.96)</f>
        <v>141.96</v>
      </c>
      <c r="F3318" s="1">
        <f>IFERROR(__xludf.DUMMYFUNCTION("""COMPUTED_VALUE"""),45605.0)</f>
        <v>45605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IFERROR(__xludf.DUMMYFUNCTION("""COMPUTED_VALUE"""),141.96)</f>
        <v>141.96</v>
      </c>
      <c r="C3319" s="1">
        <f>IFERROR(__xludf.DUMMYFUNCTION("""COMPUTED_VALUE"""),143.05)</f>
        <v>143.05</v>
      </c>
      <c r="D3319" s="1">
        <f>IFERROR(__xludf.DUMMYFUNCTION("""COMPUTED_VALUE"""),140.15)</f>
        <v>140.15</v>
      </c>
      <c r="E3319" s="1">
        <f>IFERROR(__xludf.DUMMYFUNCTION("""COMPUTED_VALUE"""),140.99)</f>
        <v>140.99</v>
      </c>
      <c r="F3319" s="1">
        <f>IFERROR(__xludf.DUMMYFUNCTION("""COMPUTED_VALUE"""),68767.0)</f>
        <v>68767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IFERROR(__xludf.DUMMYFUNCTION("""COMPUTED_VALUE"""),140.54)</f>
        <v>140.54</v>
      </c>
      <c r="C3320" s="1">
        <f>IFERROR(__xludf.DUMMYFUNCTION("""COMPUTED_VALUE"""),141.1)</f>
        <v>141.1</v>
      </c>
      <c r="D3320" s="1">
        <f>IFERROR(__xludf.DUMMYFUNCTION("""COMPUTED_VALUE"""),138.17)</f>
        <v>138.17</v>
      </c>
      <c r="E3320" s="1">
        <f>IFERROR(__xludf.DUMMYFUNCTION("""COMPUTED_VALUE"""),139.46)</f>
        <v>139.46</v>
      </c>
      <c r="F3320" s="1">
        <f>IFERROR(__xludf.DUMMYFUNCTION("""COMPUTED_VALUE"""),63285.0)</f>
        <v>63285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IFERROR(__xludf.DUMMYFUNCTION("""COMPUTED_VALUE"""),139.19)</f>
        <v>139.19</v>
      </c>
      <c r="C3321" s="1">
        <f>IFERROR(__xludf.DUMMYFUNCTION("""COMPUTED_VALUE"""),142.07)</f>
        <v>142.07</v>
      </c>
      <c r="D3321" s="1">
        <f>IFERROR(__xludf.DUMMYFUNCTION("""COMPUTED_VALUE"""),138.17)</f>
        <v>138.17</v>
      </c>
      <c r="E3321" s="1">
        <f>IFERROR(__xludf.DUMMYFUNCTION("""COMPUTED_VALUE"""),140.26)</f>
        <v>140.26</v>
      </c>
      <c r="F3321" s="1">
        <f>IFERROR(__xludf.DUMMYFUNCTION("""COMPUTED_VALUE"""),51913.0)</f>
        <v>51913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IFERROR(__xludf.DUMMYFUNCTION("""COMPUTED_VALUE"""),141.68)</f>
        <v>141.68</v>
      </c>
      <c r="C3322" s="1">
        <f>IFERROR(__xludf.DUMMYFUNCTION("""COMPUTED_VALUE"""),143.67)</f>
        <v>143.67</v>
      </c>
      <c r="D3322" s="1">
        <f>IFERROR(__xludf.DUMMYFUNCTION("""COMPUTED_VALUE"""),139.77)</f>
        <v>139.77</v>
      </c>
      <c r="E3322" s="1">
        <f>IFERROR(__xludf.DUMMYFUNCTION("""COMPUTED_VALUE"""),141.93)</f>
        <v>141.93</v>
      </c>
      <c r="F3322" s="1">
        <f>IFERROR(__xludf.DUMMYFUNCTION("""COMPUTED_VALUE"""),68638.0)</f>
        <v>68638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IFERROR(__xludf.DUMMYFUNCTION("""COMPUTED_VALUE"""),141.03)</f>
        <v>141.03</v>
      </c>
      <c r="C3323" s="1">
        <f>IFERROR(__xludf.DUMMYFUNCTION("""COMPUTED_VALUE"""),143.75)</f>
        <v>143.75</v>
      </c>
      <c r="D3323" s="1">
        <f>IFERROR(__xludf.DUMMYFUNCTION("""COMPUTED_VALUE"""),140.02)</f>
        <v>140.02</v>
      </c>
      <c r="E3323" s="1">
        <f>IFERROR(__xludf.DUMMYFUNCTION("""COMPUTED_VALUE"""),142.96)</f>
        <v>142.96</v>
      </c>
      <c r="F3323" s="1">
        <f>IFERROR(__xludf.DUMMYFUNCTION("""COMPUTED_VALUE"""),79222.0)</f>
        <v>79222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IFERROR(__xludf.DUMMYFUNCTION("""COMPUTED_VALUE"""),142.15)</f>
        <v>142.15</v>
      </c>
      <c r="C3324" s="1">
        <f>IFERROR(__xludf.DUMMYFUNCTION("""COMPUTED_VALUE"""),143.9)</f>
        <v>143.9</v>
      </c>
      <c r="D3324" s="1">
        <f>IFERROR(__xludf.DUMMYFUNCTION("""COMPUTED_VALUE"""),141.17)</f>
        <v>141.17</v>
      </c>
      <c r="E3324" s="1">
        <f>IFERROR(__xludf.DUMMYFUNCTION("""COMPUTED_VALUE"""),143.51)</f>
        <v>143.51</v>
      </c>
      <c r="F3324" s="1">
        <f>IFERROR(__xludf.DUMMYFUNCTION("""COMPUTED_VALUE"""),95718.0)</f>
        <v>95718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IFERROR(__xludf.DUMMYFUNCTION("""COMPUTED_VALUE"""),142.8)</f>
        <v>142.8</v>
      </c>
      <c r="C3325" s="1">
        <f>IFERROR(__xludf.DUMMYFUNCTION("""COMPUTED_VALUE"""),143.4)</f>
        <v>143.4</v>
      </c>
      <c r="D3325" s="1">
        <f>IFERROR(__xludf.DUMMYFUNCTION("""COMPUTED_VALUE"""),139.98)</f>
        <v>139.98</v>
      </c>
      <c r="E3325" s="1">
        <f>IFERROR(__xludf.DUMMYFUNCTION("""COMPUTED_VALUE"""),140.81)</f>
        <v>140.81</v>
      </c>
      <c r="F3325" s="1">
        <f>IFERROR(__xludf.DUMMYFUNCTION("""COMPUTED_VALUE"""),285467.0)</f>
        <v>285467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IFERROR(__xludf.DUMMYFUNCTION("""COMPUTED_VALUE"""),140.44)</f>
        <v>140.44</v>
      </c>
      <c r="C3326" s="1">
        <f>IFERROR(__xludf.DUMMYFUNCTION("""COMPUTED_VALUE"""),143.67)</f>
        <v>143.67</v>
      </c>
      <c r="D3326" s="1">
        <f>IFERROR(__xludf.DUMMYFUNCTION("""COMPUTED_VALUE"""),140.3)</f>
        <v>140.3</v>
      </c>
      <c r="E3326" s="1">
        <f>IFERROR(__xludf.DUMMYFUNCTION("""COMPUTED_VALUE"""),142.87)</f>
        <v>142.87</v>
      </c>
      <c r="F3326" s="1">
        <f>IFERROR(__xludf.DUMMYFUNCTION("""COMPUTED_VALUE"""),86762.0)</f>
        <v>86762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IFERROR(__xludf.DUMMYFUNCTION("""COMPUTED_VALUE"""),143.8)</f>
        <v>143.8</v>
      </c>
      <c r="C3327" s="1">
        <f>IFERROR(__xludf.DUMMYFUNCTION("""COMPUTED_VALUE"""),145.14)</f>
        <v>145.14</v>
      </c>
      <c r="D3327" s="1">
        <f>IFERROR(__xludf.DUMMYFUNCTION("""COMPUTED_VALUE"""),142.47)</f>
        <v>142.47</v>
      </c>
      <c r="E3327" s="1">
        <f>IFERROR(__xludf.DUMMYFUNCTION("""COMPUTED_VALUE"""),145.07)</f>
        <v>145.07</v>
      </c>
      <c r="F3327" s="1">
        <f>IFERROR(__xludf.DUMMYFUNCTION("""COMPUTED_VALUE"""),109999.0)</f>
        <v>109999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IFERROR(__xludf.DUMMYFUNCTION("""COMPUTED_VALUE"""),144.54)</f>
        <v>144.54</v>
      </c>
      <c r="C3328" s="1">
        <f>IFERROR(__xludf.DUMMYFUNCTION("""COMPUTED_VALUE"""),147.16)</f>
        <v>147.16</v>
      </c>
      <c r="D3328" s="1">
        <f>IFERROR(__xludf.DUMMYFUNCTION("""COMPUTED_VALUE"""),143.77)</f>
        <v>143.77</v>
      </c>
      <c r="E3328" s="1">
        <f>IFERROR(__xludf.DUMMYFUNCTION("""COMPUTED_VALUE"""),143.85)</f>
        <v>143.85</v>
      </c>
      <c r="F3328" s="1">
        <f>IFERROR(__xludf.DUMMYFUNCTION("""COMPUTED_VALUE"""),113383.0)</f>
        <v>113383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IFERROR(__xludf.DUMMYFUNCTION("""COMPUTED_VALUE"""),143.47)</f>
        <v>143.47</v>
      </c>
      <c r="C3329" s="1">
        <f>IFERROR(__xludf.DUMMYFUNCTION("""COMPUTED_VALUE"""),145.17)</f>
        <v>145.17</v>
      </c>
      <c r="D3329" s="1">
        <f>IFERROR(__xludf.DUMMYFUNCTION("""COMPUTED_VALUE"""),142.81)</f>
        <v>142.81</v>
      </c>
      <c r="E3329" s="1">
        <f>IFERROR(__xludf.DUMMYFUNCTION("""COMPUTED_VALUE"""),144.5)</f>
        <v>144.5</v>
      </c>
      <c r="F3329" s="1">
        <f>IFERROR(__xludf.DUMMYFUNCTION("""COMPUTED_VALUE"""),87577.0)</f>
        <v>87577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IFERROR(__xludf.DUMMYFUNCTION("""COMPUTED_VALUE"""),144.64)</f>
        <v>144.64</v>
      </c>
      <c r="C3330" s="1">
        <f>IFERROR(__xludf.DUMMYFUNCTION("""COMPUTED_VALUE"""),146.67)</f>
        <v>146.67</v>
      </c>
      <c r="D3330" s="1">
        <f>IFERROR(__xludf.DUMMYFUNCTION("""COMPUTED_VALUE"""),143.6)</f>
        <v>143.6</v>
      </c>
      <c r="E3330" s="1">
        <f>IFERROR(__xludf.DUMMYFUNCTION("""COMPUTED_VALUE"""),145.96)</f>
        <v>145.96</v>
      </c>
      <c r="F3330" s="1">
        <f>IFERROR(__xludf.DUMMYFUNCTION("""COMPUTED_VALUE"""),83969.0)</f>
        <v>83969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IFERROR(__xludf.DUMMYFUNCTION("""COMPUTED_VALUE"""),146.54)</f>
        <v>146.54</v>
      </c>
      <c r="C3331" s="1">
        <f>IFERROR(__xludf.DUMMYFUNCTION("""COMPUTED_VALUE"""),147.1)</f>
        <v>147.1</v>
      </c>
      <c r="D3331" s="1">
        <f>IFERROR(__xludf.DUMMYFUNCTION("""COMPUTED_VALUE"""),145.75)</f>
        <v>145.75</v>
      </c>
      <c r="E3331" s="1">
        <f>IFERROR(__xludf.DUMMYFUNCTION("""COMPUTED_VALUE"""),146.28)</f>
        <v>146.28</v>
      </c>
      <c r="F3331" s="1">
        <f>IFERROR(__xludf.DUMMYFUNCTION("""COMPUTED_VALUE"""),53616.0)</f>
        <v>53616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IFERROR(__xludf.DUMMYFUNCTION("""COMPUTED_VALUE"""),146.01)</f>
        <v>146.01</v>
      </c>
      <c r="C3332" s="1">
        <f>IFERROR(__xludf.DUMMYFUNCTION("""COMPUTED_VALUE"""),149.76)</f>
        <v>149.76</v>
      </c>
      <c r="D3332" s="1">
        <f>IFERROR(__xludf.DUMMYFUNCTION("""COMPUTED_VALUE"""),145.59)</f>
        <v>145.59</v>
      </c>
      <c r="E3332" s="1">
        <f>IFERROR(__xludf.DUMMYFUNCTION("""COMPUTED_VALUE"""),149.17)</f>
        <v>149.17</v>
      </c>
      <c r="F3332" s="1">
        <f>IFERROR(__xludf.DUMMYFUNCTION("""COMPUTED_VALUE"""),74113.0)</f>
        <v>74113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IFERROR(__xludf.DUMMYFUNCTION("""COMPUTED_VALUE"""),149.27)</f>
        <v>149.27</v>
      </c>
      <c r="C3333" s="1">
        <f>IFERROR(__xludf.DUMMYFUNCTION("""COMPUTED_VALUE"""),149.9)</f>
        <v>149.9</v>
      </c>
      <c r="D3333" s="1">
        <f>IFERROR(__xludf.DUMMYFUNCTION("""COMPUTED_VALUE"""),145.67)</f>
        <v>145.67</v>
      </c>
      <c r="E3333" s="1">
        <f>IFERROR(__xludf.DUMMYFUNCTION("""COMPUTED_VALUE"""),145.83)</f>
        <v>145.83</v>
      </c>
      <c r="F3333" s="1">
        <f>IFERROR(__xludf.DUMMYFUNCTION("""COMPUTED_VALUE"""),87928.0)</f>
        <v>87928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IFERROR(__xludf.DUMMYFUNCTION("""COMPUTED_VALUE"""),145.58)</f>
        <v>145.58</v>
      </c>
      <c r="C3334" s="1">
        <f>IFERROR(__xludf.DUMMYFUNCTION("""COMPUTED_VALUE"""),146.57)</f>
        <v>146.57</v>
      </c>
      <c r="D3334" s="1">
        <f>IFERROR(__xludf.DUMMYFUNCTION("""COMPUTED_VALUE"""),145.08)</f>
        <v>145.08</v>
      </c>
      <c r="E3334" s="1">
        <f>IFERROR(__xludf.DUMMYFUNCTION("""COMPUTED_VALUE"""),146.3)</f>
        <v>146.3</v>
      </c>
      <c r="F3334" s="1">
        <f>IFERROR(__xludf.DUMMYFUNCTION("""COMPUTED_VALUE"""),73606.0)</f>
        <v>73606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IFERROR(__xludf.DUMMYFUNCTION("""COMPUTED_VALUE"""),147.0)</f>
        <v>147</v>
      </c>
      <c r="C3335" s="1">
        <f>IFERROR(__xludf.DUMMYFUNCTION("""COMPUTED_VALUE"""),148.49)</f>
        <v>148.49</v>
      </c>
      <c r="D3335" s="1">
        <f>IFERROR(__xludf.DUMMYFUNCTION("""COMPUTED_VALUE"""),146.58)</f>
        <v>146.58</v>
      </c>
      <c r="E3335" s="1">
        <f>IFERROR(__xludf.DUMMYFUNCTION("""COMPUTED_VALUE"""),148.22)</f>
        <v>148.22</v>
      </c>
      <c r="F3335" s="1">
        <f>IFERROR(__xludf.DUMMYFUNCTION("""COMPUTED_VALUE"""),117909.0)</f>
        <v>117909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IFERROR(__xludf.DUMMYFUNCTION("""COMPUTED_VALUE"""),148.92)</f>
        <v>148.92</v>
      </c>
      <c r="C3336" s="1">
        <f>IFERROR(__xludf.DUMMYFUNCTION("""COMPUTED_VALUE"""),153.25)</f>
        <v>153.25</v>
      </c>
      <c r="D3336" s="1">
        <f>IFERROR(__xludf.DUMMYFUNCTION("""COMPUTED_VALUE"""),148.92)</f>
        <v>148.92</v>
      </c>
      <c r="E3336" s="1">
        <f>IFERROR(__xludf.DUMMYFUNCTION("""COMPUTED_VALUE"""),152.65)</f>
        <v>152.65</v>
      </c>
      <c r="F3336" s="1">
        <f>IFERROR(__xludf.DUMMYFUNCTION("""COMPUTED_VALUE"""),72378.0)</f>
        <v>72378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IFERROR(__xludf.DUMMYFUNCTION("""COMPUTED_VALUE"""),152.39)</f>
        <v>152.39</v>
      </c>
      <c r="C3337" s="1">
        <f>IFERROR(__xludf.DUMMYFUNCTION("""COMPUTED_VALUE"""),152.9)</f>
        <v>152.9</v>
      </c>
      <c r="D3337" s="1">
        <f>IFERROR(__xludf.DUMMYFUNCTION("""COMPUTED_VALUE"""),150.31)</f>
        <v>150.31</v>
      </c>
      <c r="E3337" s="1">
        <f>IFERROR(__xludf.DUMMYFUNCTION("""COMPUTED_VALUE"""),152.88)</f>
        <v>152.88</v>
      </c>
      <c r="F3337" s="1">
        <f>IFERROR(__xludf.DUMMYFUNCTION("""COMPUTED_VALUE"""),65927.0)</f>
        <v>65927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IFERROR(__xludf.DUMMYFUNCTION("""COMPUTED_VALUE"""),152.97)</f>
        <v>152.97</v>
      </c>
      <c r="C3338" s="1">
        <f>IFERROR(__xludf.DUMMYFUNCTION("""COMPUTED_VALUE"""),153.2)</f>
        <v>153.2</v>
      </c>
      <c r="D3338" s="1">
        <f>IFERROR(__xludf.DUMMYFUNCTION("""COMPUTED_VALUE"""),151.26)</f>
        <v>151.26</v>
      </c>
      <c r="E3338" s="1">
        <f>IFERROR(__xludf.DUMMYFUNCTION("""COMPUTED_VALUE"""),152.25)</f>
        <v>152.25</v>
      </c>
      <c r="F3338" s="1">
        <f>IFERROR(__xludf.DUMMYFUNCTION("""COMPUTED_VALUE"""),42240.0)</f>
        <v>42240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IFERROR(__xludf.DUMMYFUNCTION("""COMPUTED_VALUE"""),152.58)</f>
        <v>152.58</v>
      </c>
      <c r="C3339" s="1">
        <f>IFERROR(__xludf.DUMMYFUNCTION("""COMPUTED_VALUE"""),153.9)</f>
        <v>153.9</v>
      </c>
      <c r="D3339" s="1">
        <f>IFERROR(__xludf.DUMMYFUNCTION("""COMPUTED_VALUE"""),150.21)</f>
        <v>150.21</v>
      </c>
      <c r="E3339" s="1">
        <f>IFERROR(__xludf.DUMMYFUNCTION("""COMPUTED_VALUE"""),152.78)</f>
        <v>152.78</v>
      </c>
      <c r="F3339" s="1">
        <f>IFERROR(__xludf.DUMMYFUNCTION("""COMPUTED_VALUE"""),34709.0)</f>
        <v>34709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IFERROR(__xludf.DUMMYFUNCTION("""COMPUTED_VALUE"""),153.08)</f>
        <v>153.08</v>
      </c>
      <c r="C3340" s="1">
        <f>IFERROR(__xludf.DUMMYFUNCTION("""COMPUTED_VALUE"""),153.52)</f>
        <v>153.52</v>
      </c>
      <c r="D3340" s="1">
        <f>IFERROR(__xludf.DUMMYFUNCTION("""COMPUTED_VALUE"""),149.97)</f>
        <v>149.97</v>
      </c>
      <c r="E3340" s="1">
        <f>IFERROR(__xludf.DUMMYFUNCTION("""COMPUTED_VALUE"""),152.62)</f>
        <v>152.62</v>
      </c>
      <c r="F3340" s="1">
        <f>IFERROR(__xludf.DUMMYFUNCTION("""COMPUTED_VALUE"""),77237.0)</f>
        <v>77237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IFERROR(__xludf.DUMMYFUNCTION("""COMPUTED_VALUE"""),152.62)</f>
        <v>152.62</v>
      </c>
      <c r="C3341" s="1">
        <f>IFERROR(__xludf.DUMMYFUNCTION("""COMPUTED_VALUE"""),153.62)</f>
        <v>153.62</v>
      </c>
      <c r="D3341" s="1">
        <f>IFERROR(__xludf.DUMMYFUNCTION("""COMPUTED_VALUE"""),151.91)</f>
        <v>151.91</v>
      </c>
      <c r="E3341" s="1">
        <f>IFERROR(__xludf.DUMMYFUNCTION("""COMPUTED_VALUE"""),152.59)</f>
        <v>152.59</v>
      </c>
      <c r="F3341" s="1">
        <f>IFERROR(__xludf.DUMMYFUNCTION("""COMPUTED_VALUE"""),52447.0)</f>
        <v>52447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IFERROR(__xludf.DUMMYFUNCTION("""COMPUTED_VALUE"""),153.0)</f>
        <v>153</v>
      </c>
      <c r="C3342" s="1">
        <f>IFERROR(__xludf.DUMMYFUNCTION("""COMPUTED_VALUE"""),153.5)</f>
        <v>153.5</v>
      </c>
      <c r="D3342" s="1">
        <f>IFERROR(__xludf.DUMMYFUNCTION("""COMPUTED_VALUE"""),151.84)</f>
        <v>151.84</v>
      </c>
      <c r="E3342" s="1">
        <f>IFERROR(__xludf.DUMMYFUNCTION("""COMPUTED_VALUE"""),152.23)</f>
        <v>152.23</v>
      </c>
      <c r="F3342" s="1">
        <f>IFERROR(__xludf.DUMMYFUNCTION("""COMPUTED_VALUE"""),32177.0)</f>
        <v>32177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IFERROR(__xludf.DUMMYFUNCTION("""COMPUTED_VALUE"""),152.3)</f>
        <v>152.3</v>
      </c>
      <c r="C3343" s="1">
        <f>IFERROR(__xludf.DUMMYFUNCTION("""COMPUTED_VALUE"""),153.15)</f>
        <v>153.15</v>
      </c>
      <c r="D3343" s="1">
        <f>IFERROR(__xludf.DUMMYFUNCTION("""COMPUTED_VALUE"""),150.57)</f>
        <v>150.57</v>
      </c>
      <c r="E3343" s="1">
        <f>IFERROR(__xludf.DUMMYFUNCTION("""COMPUTED_VALUE"""),151.55)</f>
        <v>151.55</v>
      </c>
      <c r="F3343" s="1">
        <f>IFERROR(__xludf.DUMMYFUNCTION("""COMPUTED_VALUE"""),39198.0)</f>
        <v>39198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IFERROR(__xludf.DUMMYFUNCTION("""COMPUTED_VALUE"""),150.83)</f>
        <v>150.83</v>
      </c>
      <c r="C3344" s="1">
        <f>IFERROR(__xludf.DUMMYFUNCTION("""COMPUTED_VALUE"""),151.41)</f>
        <v>151.41</v>
      </c>
      <c r="D3344" s="1">
        <f>IFERROR(__xludf.DUMMYFUNCTION("""COMPUTED_VALUE"""),148.26)</f>
        <v>148.26</v>
      </c>
      <c r="E3344" s="1">
        <f>IFERROR(__xludf.DUMMYFUNCTION("""COMPUTED_VALUE"""),148.76)</f>
        <v>148.76</v>
      </c>
      <c r="F3344" s="1">
        <f>IFERROR(__xludf.DUMMYFUNCTION("""COMPUTED_VALUE"""),65400.0)</f>
        <v>65400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IFERROR(__xludf.DUMMYFUNCTION("""COMPUTED_VALUE"""),148.55)</f>
        <v>148.55</v>
      </c>
      <c r="C3345" s="1">
        <f>IFERROR(__xludf.DUMMYFUNCTION("""COMPUTED_VALUE"""),150.17)</f>
        <v>150.17</v>
      </c>
      <c r="D3345" s="1">
        <f>IFERROR(__xludf.DUMMYFUNCTION("""COMPUTED_VALUE"""),148.55)</f>
        <v>148.55</v>
      </c>
      <c r="E3345" s="1">
        <f>IFERROR(__xludf.DUMMYFUNCTION("""COMPUTED_VALUE"""),148.89)</f>
        <v>148.89</v>
      </c>
      <c r="F3345" s="1">
        <f>IFERROR(__xludf.DUMMYFUNCTION("""COMPUTED_VALUE"""),38209.0)</f>
        <v>38209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IFERROR(__xludf.DUMMYFUNCTION("""COMPUTED_VALUE"""),148.9)</f>
        <v>148.9</v>
      </c>
      <c r="C3346" s="1">
        <f>IFERROR(__xludf.DUMMYFUNCTION("""COMPUTED_VALUE"""),149.95)</f>
        <v>149.95</v>
      </c>
      <c r="D3346" s="1">
        <f>IFERROR(__xludf.DUMMYFUNCTION("""COMPUTED_VALUE"""),148.1)</f>
        <v>148.1</v>
      </c>
      <c r="E3346" s="1">
        <f>IFERROR(__xludf.DUMMYFUNCTION("""COMPUTED_VALUE"""),149.64)</f>
        <v>149.64</v>
      </c>
      <c r="F3346" s="1">
        <f>IFERROR(__xludf.DUMMYFUNCTION("""COMPUTED_VALUE"""),47615.0)</f>
        <v>47615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IFERROR(__xludf.DUMMYFUNCTION("""COMPUTED_VALUE"""),149.83)</f>
        <v>149.83</v>
      </c>
      <c r="C3347" s="1">
        <f>IFERROR(__xludf.DUMMYFUNCTION("""COMPUTED_VALUE"""),151.54)</f>
        <v>151.54</v>
      </c>
      <c r="D3347" s="1">
        <f>IFERROR(__xludf.DUMMYFUNCTION("""COMPUTED_VALUE"""),149.83)</f>
        <v>149.83</v>
      </c>
      <c r="E3347" s="1">
        <f>IFERROR(__xludf.DUMMYFUNCTION("""COMPUTED_VALUE"""),150.25)</f>
        <v>150.25</v>
      </c>
      <c r="F3347" s="1">
        <f>IFERROR(__xludf.DUMMYFUNCTION("""COMPUTED_VALUE"""),51362.0)</f>
        <v>51362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IFERROR(__xludf.DUMMYFUNCTION("""COMPUTED_VALUE"""),150.15)</f>
        <v>150.15</v>
      </c>
      <c r="C3348" s="1">
        <f>IFERROR(__xludf.DUMMYFUNCTION("""COMPUTED_VALUE"""),150.15)</f>
        <v>150.15</v>
      </c>
      <c r="D3348" s="1">
        <f>IFERROR(__xludf.DUMMYFUNCTION("""COMPUTED_VALUE"""),148.86)</f>
        <v>148.86</v>
      </c>
      <c r="E3348" s="1">
        <f>IFERROR(__xludf.DUMMYFUNCTION("""COMPUTED_VALUE"""),149.1)</f>
        <v>149.1</v>
      </c>
      <c r="F3348" s="1">
        <f>IFERROR(__xludf.DUMMYFUNCTION("""COMPUTED_VALUE"""),76335.0)</f>
        <v>76335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IFERROR(__xludf.DUMMYFUNCTION("""COMPUTED_VALUE"""),150.0)</f>
        <v>150</v>
      </c>
      <c r="C3349" s="1">
        <f>IFERROR(__xludf.DUMMYFUNCTION("""COMPUTED_VALUE"""),151.06)</f>
        <v>151.06</v>
      </c>
      <c r="D3349" s="1">
        <f>IFERROR(__xludf.DUMMYFUNCTION("""COMPUTED_VALUE"""),148.08)</f>
        <v>148.08</v>
      </c>
      <c r="E3349" s="1">
        <f>IFERROR(__xludf.DUMMYFUNCTION("""COMPUTED_VALUE"""),149.66)</f>
        <v>149.66</v>
      </c>
      <c r="F3349" s="1">
        <f>IFERROR(__xludf.DUMMYFUNCTION("""COMPUTED_VALUE"""),69175.0)</f>
        <v>69175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IFERROR(__xludf.DUMMYFUNCTION("""COMPUTED_VALUE"""),149.66)</f>
        <v>149.66</v>
      </c>
      <c r="C3350" s="1">
        <f>IFERROR(__xludf.DUMMYFUNCTION("""COMPUTED_VALUE"""),151.59)</f>
        <v>151.59</v>
      </c>
      <c r="D3350" s="1">
        <f>IFERROR(__xludf.DUMMYFUNCTION("""COMPUTED_VALUE"""),149.4)</f>
        <v>149.4</v>
      </c>
      <c r="E3350" s="1">
        <f>IFERROR(__xludf.DUMMYFUNCTION("""COMPUTED_VALUE"""),151.0)</f>
        <v>151</v>
      </c>
      <c r="F3350" s="1">
        <f>IFERROR(__xludf.DUMMYFUNCTION("""COMPUTED_VALUE"""),47772.0)</f>
        <v>47772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IFERROR(__xludf.DUMMYFUNCTION("""COMPUTED_VALUE"""),150.8)</f>
        <v>150.8</v>
      </c>
      <c r="C3351" s="1">
        <f>IFERROR(__xludf.DUMMYFUNCTION("""COMPUTED_VALUE"""),152.38)</f>
        <v>152.38</v>
      </c>
      <c r="D3351" s="1">
        <f>IFERROR(__xludf.DUMMYFUNCTION("""COMPUTED_VALUE"""),150.7)</f>
        <v>150.7</v>
      </c>
      <c r="E3351" s="1">
        <f>IFERROR(__xludf.DUMMYFUNCTION("""COMPUTED_VALUE"""),151.15)</f>
        <v>151.15</v>
      </c>
      <c r="F3351" s="1">
        <f>IFERROR(__xludf.DUMMYFUNCTION("""COMPUTED_VALUE"""),49955.0)</f>
        <v>49955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IFERROR(__xludf.DUMMYFUNCTION("""COMPUTED_VALUE"""),150.4)</f>
        <v>150.4</v>
      </c>
      <c r="C3352" s="1">
        <f>IFERROR(__xludf.DUMMYFUNCTION("""COMPUTED_VALUE"""),150.47)</f>
        <v>150.47</v>
      </c>
      <c r="D3352" s="1">
        <f>IFERROR(__xludf.DUMMYFUNCTION("""COMPUTED_VALUE"""),148.76)</f>
        <v>148.76</v>
      </c>
      <c r="E3352" s="1">
        <f>IFERROR(__xludf.DUMMYFUNCTION("""COMPUTED_VALUE"""),149.75)</f>
        <v>149.75</v>
      </c>
      <c r="F3352" s="1">
        <f>IFERROR(__xludf.DUMMYFUNCTION("""COMPUTED_VALUE"""),68084.0)</f>
        <v>68084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IFERROR(__xludf.DUMMYFUNCTION("""COMPUTED_VALUE"""),149.52)</f>
        <v>149.52</v>
      </c>
      <c r="C3353" s="1">
        <f>IFERROR(__xludf.DUMMYFUNCTION("""COMPUTED_VALUE"""),153.55)</f>
        <v>153.55</v>
      </c>
      <c r="D3353" s="1">
        <f>IFERROR(__xludf.DUMMYFUNCTION("""COMPUTED_VALUE"""),149.01)</f>
        <v>149.01</v>
      </c>
      <c r="E3353" s="1">
        <f>IFERROR(__xludf.DUMMYFUNCTION("""COMPUTED_VALUE"""),153.04)</f>
        <v>153.04</v>
      </c>
      <c r="F3353" s="1">
        <f>IFERROR(__xludf.DUMMYFUNCTION("""COMPUTED_VALUE"""),72016.0)</f>
        <v>72016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IFERROR(__xludf.DUMMYFUNCTION("""COMPUTED_VALUE"""),152.8)</f>
        <v>152.8</v>
      </c>
      <c r="C3354" s="1">
        <f>IFERROR(__xludf.DUMMYFUNCTION("""COMPUTED_VALUE"""),156.89)</f>
        <v>156.89</v>
      </c>
      <c r="D3354" s="1">
        <f>IFERROR(__xludf.DUMMYFUNCTION("""COMPUTED_VALUE"""),152.8)</f>
        <v>152.8</v>
      </c>
      <c r="E3354" s="1">
        <f>IFERROR(__xludf.DUMMYFUNCTION("""COMPUTED_VALUE"""),153.2)</f>
        <v>153.2</v>
      </c>
      <c r="F3354" s="1">
        <f>IFERROR(__xludf.DUMMYFUNCTION("""COMPUTED_VALUE"""),116051.0)</f>
        <v>116051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IFERROR(__xludf.DUMMYFUNCTION("""COMPUTED_VALUE"""),153.58)</f>
        <v>153.58</v>
      </c>
      <c r="C3355" s="1">
        <f>IFERROR(__xludf.DUMMYFUNCTION("""COMPUTED_VALUE"""),155.76)</f>
        <v>155.76</v>
      </c>
      <c r="D3355" s="1">
        <f>IFERROR(__xludf.DUMMYFUNCTION("""COMPUTED_VALUE"""),153.25)</f>
        <v>153.25</v>
      </c>
      <c r="E3355" s="1">
        <f>IFERROR(__xludf.DUMMYFUNCTION("""COMPUTED_VALUE"""),154.78)</f>
        <v>154.78</v>
      </c>
      <c r="F3355" s="1">
        <f>IFERROR(__xludf.DUMMYFUNCTION("""COMPUTED_VALUE"""),125646.0)</f>
        <v>125646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IFERROR(__xludf.DUMMYFUNCTION("""COMPUTED_VALUE"""),150.0)</f>
        <v>150</v>
      </c>
      <c r="C3356" s="1">
        <f>IFERROR(__xludf.DUMMYFUNCTION("""COMPUTED_VALUE"""),160.82)</f>
        <v>160.82</v>
      </c>
      <c r="D3356" s="1">
        <f>IFERROR(__xludf.DUMMYFUNCTION("""COMPUTED_VALUE"""),150.0)</f>
        <v>150</v>
      </c>
      <c r="E3356" s="1">
        <f>IFERROR(__xludf.DUMMYFUNCTION("""COMPUTED_VALUE"""),158.16)</f>
        <v>158.16</v>
      </c>
      <c r="F3356" s="1">
        <f>IFERROR(__xludf.DUMMYFUNCTION("""COMPUTED_VALUE"""),105025.0)</f>
        <v>105025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IFERROR(__xludf.DUMMYFUNCTION("""COMPUTED_VALUE"""),158.8)</f>
        <v>158.8</v>
      </c>
      <c r="C3357" s="1">
        <f>IFERROR(__xludf.DUMMYFUNCTION("""COMPUTED_VALUE"""),160.11)</f>
        <v>160.11</v>
      </c>
      <c r="D3357" s="1">
        <f>IFERROR(__xludf.DUMMYFUNCTION("""COMPUTED_VALUE"""),155.96)</f>
        <v>155.96</v>
      </c>
      <c r="E3357" s="1">
        <f>IFERROR(__xludf.DUMMYFUNCTION("""COMPUTED_VALUE"""),156.26)</f>
        <v>156.26</v>
      </c>
      <c r="F3357" s="1">
        <f>IFERROR(__xludf.DUMMYFUNCTION("""COMPUTED_VALUE"""),81547.0)</f>
        <v>81547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IFERROR(__xludf.DUMMYFUNCTION("""COMPUTED_VALUE"""),155.78)</f>
        <v>155.78</v>
      </c>
      <c r="C3358" s="1">
        <f>IFERROR(__xludf.DUMMYFUNCTION("""COMPUTED_VALUE"""),159.6)</f>
        <v>159.6</v>
      </c>
      <c r="D3358" s="1">
        <f>IFERROR(__xludf.DUMMYFUNCTION("""COMPUTED_VALUE"""),155.49)</f>
        <v>155.49</v>
      </c>
      <c r="E3358" s="1">
        <f>IFERROR(__xludf.DUMMYFUNCTION("""COMPUTED_VALUE"""),158.77)</f>
        <v>158.77</v>
      </c>
      <c r="F3358" s="1">
        <f>IFERROR(__xludf.DUMMYFUNCTION("""COMPUTED_VALUE"""),72886.0)</f>
        <v>72886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IFERROR(__xludf.DUMMYFUNCTION("""COMPUTED_VALUE"""),159.13)</f>
        <v>159.13</v>
      </c>
      <c r="C3359" s="1">
        <f>IFERROR(__xludf.DUMMYFUNCTION("""COMPUTED_VALUE"""),162.93)</f>
        <v>162.93</v>
      </c>
      <c r="D3359" s="1">
        <f>IFERROR(__xludf.DUMMYFUNCTION("""COMPUTED_VALUE"""),158.79)</f>
        <v>158.79</v>
      </c>
      <c r="E3359" s="1">
        <f>IFERROR(__xludf.DUMMYFUNCTION("""COMPUTED_VALUE"""),162.8)</f>
        <v>162.8</v>
      </c>
      <c r="F3359" s="1">
        <f>IFERROR(__xludf.DUMMYFUNCTION("""COMPUTED_VALUE"""),67235.0)</f>
        <v>67235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IFERROR(__xludf.DUMMYFUNCTION("""COMPUTED_VALUE"""),162.24)</f>
        <v>162.24</v>
      </c>
      <c r="C3360" s="1">
        <f>IFERROR(__xludf.DUMMYFUNCTION("""COMPUTED_VALUE"""),164.26)</f>
        <v>164.26</v>
      </c>
      <c r="D3360" s="1">
        <f>IFERROR(__xludf.DUMMYFUNCTION("""COMPUTED_VALUE"""),162.03)</f>
        <v>162.03</v>
      </c>
      <c r="E3360" s="1">
        <f>IFERROR(__xludf.DUMMYFUNCTION("""COMPUTED_VALUE"""),163.53)</f>
        <v>163.53</v>
      </c>
      <c r="F3360" s="1">
        <f>IFERROR(__xludf.DUMMYFUNCTION("""COMPUTED_VALUE"""),53544.0)</f>
        <v>53544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IFERROR(__xludf.DUMMYFUNCTION("""COMPUTED_VALUE"""),163.55)</f>
        <v>163.55</v>
      </c>
      <c r="C3361" s="1">
        <f>IFERROR(__xludf.DUMMYFUNCTION("""COMPUTED_VALUE"""),163.64)</f>
        <v>163.64</v>
      </c>
      <c r="D3361" s="1">
        <f>IFERROR(__xludf.DUMMYFUNCTION("""COMPUTED_VALUE"""),160.6)</f>
        <v>160.6</v>
      </c>
      <c r="E3361" s="1">
        <f>IFERROR(__xludf.DUMMYFUNCTION("""COMPUTED_VALUE"""),161.91)</f>
        <v>161.91</v>
      </c>
      <c r="F3361" s="1">
        <f>IFERROR(__xludf.DUMMYFUNCTION("""COMPUTED_VALUE"""),66466.0)</f>
        <v>66466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IFERROR(__xludf.DUMMYFUNCTION("""COMPUTED_VALUE"""),162.6)</f>
        <v>162.6</v>
      </c>
      <c r="C3362" s="1">
        <f>IFERROR(__xludf.DUMMYFUNCTION("""COMPUTED_VALUE"""),163.82)</f>
        <v>163.82</v>
      </c>
      <c r="D3362" s="1">
        <f>IFERROR(__xludf.DUMMYFUNCTION("""COMPUTED_VALUE"""),160.71)</f>
        <v>160.71</v>
      </c>
      <c r="E3362" s="1">
        <f>IFERROR(__xludf.DUMMYFUNCTION("""COMPUTED_VALUE"""),161.22)</f>
        <v>161.22</v>
      </c>
      <c r="F3362" s="1">
        <f>IFERROR(__xludf.DUMMYFUNCTION("""COMPUTED_VALUE"""),45248.0)</f>
        <v>45248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IFERROR(__xludf.DUMMYFUNCTION("""COMPUTED_VALUE"""),160.8)</f>
        <v>160.8</v>
      </c>
      <c r="C3363" s="1">
        <f>IFERROR(__xludf.DUMMYFUNCTION("""COMPUTED_VALUE"""),161.91)</f>
        <v>161.91</v>
      </c>
      <c r="D3363" s="1">
        <f>IFERROR(__xludf.DUMMYFUNCTION("""COMPUTED_VALUE"""),159.48)</f>
        <v>159.48</v>
      </c>
      <c r="E3363" s="1">
        <f>IFERROR(__xludf.DUMMYFUNCTION("""COMPUTED_VALUE"""),160.71)</f>
        <v>160.71</v>
      </c>
      <c r="F3363" s="1">
        <f>IFERROR(__xludf.DUMMYFUNCTION("""COMPUTED_VALUE"""),37762.0)</f>
        <v>37762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IFERROR(__xludf.DUMMYFUNCTION("""COMPUTED_VALUE"""),160.71)</f>
        <v>160.71</v>
      </c>
      <c r="C3364" s="1">
        <f>IFERROR(__xludf.DUMMYFUNCTION("""COMPUTED_VALUE"""),160.71)</f>
        <v>160.71</v>
      </c>
      <c r="D3364" s="1">
        <f>IFERROR(__xludf.DUMMYFUNCTION("""COMPUTED_VALUE"""),158.03)</f>
        <v>158.03</v>
      </c>
      <c r="E3364" s="1">
        <f>IFERROR(__xludf.DUMMYFUNCTION("""COMPUTED_VALUE"""),159.45)</f>
        <v>159.45</v>
      </c>
      <c r="F3364" s="1">
        <f>IFERROR(__xludf.DUMMYFUNCTION("""COMPUTED_VALUE"""),36340.0)</f>
        <v>36340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IFERROR(__xludf.DUMMYFUNCTION("""COMPUTED_VALUE"""),159.55)</f>
        <v>159.55</v>
      </c>
      <c r="C3365" s="1">
        <f>IFERROR(__xludf.DUMMYFUNCTION("""COMPUTED_VALUE"""),160.95)</f>
        <v>160.95</v>
      </c>
      <c r="D3365" s="1">
        <f>IFERROR(__xludf.DUMMYFUNCTION("""COMPUTED_VALUE"""),159.06)</f>
        <v>159.06</v>
      </c>
      <c r="E3365" s="1">
        <f>IFERROR(__xludf.DUMMYFUNCTION("""COMPUTED_VALUE"""),159.06)</f>
        <v>159.06</v>
      </c>
      <c r="F3365" s="1">
        <f>IFERROR(__xludf.DUMMYFUNCTION("""COMPUTED_VALUE"""),44077.0)</f>
        <v>44077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IFERROR(__xludf.DUMMYFUNCTION("""COMPUTED_VALUE"""),158.58)</f>
        <v>158.58</v>
      </c>
      <c r="C3366" s="1">
        <f>IFERROR(__xludf.DUMMYFUNCTION("""COMPUTED_VALUE"""),158.91)</f>
        <v>158.91</v>
      </c>
      <c r="D3366" s="1">
        <f>IFERROR(__xludf.DUMMYFUNCTION("""COMPUTED_VALUE"""),157.01)</f>
        <v>157.01</v>
      </c>
      <c r="E3366" s="1">
        <f>IFERROR(__xludf.DUMMYFUNCTION("""COMPUTED_VALUE"""),158.61)</f>
        <v>158.61</v>
      </c>
      <c r="F3366" s="1">
        <f>IFERROR(__xludf.DUMMYFUNCTION("""COMPUTED_VALUE"""),41520.0)</f>
        <v>41520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IFERROR(__xludf.DUMMYFUNCTION("""COMPUTED_VALUE"""),158.52)</f>
        <v>158.52</v>
      </c>
      <c r="C3367" s="1">
        <f>IFERROR(__xludf.DUMMYFUNCTION("""COMPUTED_VALUE"""),159.18)</f>
        <v>159.18</v>
      </c>
      <c r="D3367" s="1">
        <f>IFERROR(__xludf.DUMMYFUNCTION("""COMPUTED_VALUE"""),156.76)</f>
        <v>156.76</v>
      </c>
      <c r="E3367" s="1">
        <f>IFERROR(__xludf.DUMMYFUNCTION("""COMPUTED_VALUE"""),158.3)</f>
        <v>158.3</v>
      </c>
      <c r="F3367" s="1">
        <f>IFERROR(__xludf.DUMMYFUNCTION("""COMPUTED_VALUE"""),64955.0)</f>
        <v>64955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IFERROR(__xludf.DUMMYFUNCTION("""COMPUTED_VALUE"""),157.95)</f>
        <v>157.95</v>
      </c>
      <c r="C3368" s="1">
        <f>IFERROR(__xludf.DUMMYFUNCTION("""COMPUTED_VALUE"""),157.99)</f>
        <v>157.99</v>
      </c>
      <c r="D3368" s="1">
        <f>IFERROR(__xludf.DUMMYFUNCTION("""COMPUTED_VALUE"""),156.57)</f>
        <v>156.57</v>
      </c>
      <c r="E3368" s="1">
        <f>IFERROR(__xludf.DUMMYFUNCTION("""COMPUTED_VALUE"""),156.8)</f>
        <v>156.8</v>
      </c>
      <c r="F3368" s="1">
        <f>IFERROR(__xludf.DUMMYFUNCTION("""COMPUTED_VALUE"""),62708.0)</f>
        <v>62708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IFERROR(__xludf.DUMMYFUNCTION("""COMPUTED_VALUE"""),157.86)</f>
        <v>157.86</v>
      </c>
      <c r="C3369" s="1">
        <f>IFERROR(__xludf.DUMMYFUNCTION("""COMPUTED_VALUE"""),157.86)</f>
        <v>157.86</v>
      </c>
      <c r="D3369" s="1">
        <f>IFERROR(__xludf.DUMMYFUNCTION("""COMPUTED_VALUE"""),155.0)</f>
        <v>155</v>
      </c>
      <c r="E3369" s="1">
        <f>IFERROR(__xludf.DUMMYFUNCTION("""COMPUTED_VALUE"""),157.48)</f>
        <v>157.48</v>
      </c>
      <c r="F3369" s="1">
        <f>IFERROR(__xludf.DUMMYFUNCTION("""COMPUTED_VALUE"""),63010.0)</f>
        <v>63010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IFERROR(__xludf.DUMMYFUNCTION("""COMPUTED_VALUE"""),157.49)</f>
        <v>157.49</v>
      </c>
      <c r="C3370" s="1">
        <f>IFERROR(__xludf.DUMMYFUNCTION("""COMPUTED_VALUE"""),157.49)</f>
        <v>157.49</v>
      </c>
      <c r="D3370" s="1">
        <f>IFERROR(__xludf.DUMMYFUNCTION("""COMPUTED_VALUE"""),154.81)</f>
        <v>154.81</v>
      </c>
      <c r="E3370" s="1">
        <f>IFERROR(__xludf.DUMMYFUNCTION("""COMPUTED_VALUE"""),155.33)</f>
        <v>155.33</v>
      </c>
      <c r="F3370" s="1">
        <f>IFERROR(__xludf.DUMMYFUNCTION("""COMPUTED_VALUE"""),73648.0)</f>
        <v>73648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IFERROR(__xludf.DUMMYFUNCTION("""COMPUTED_VALUE"""),155.21)</f>
        <v>155.21</v>
      </c>
      <c r="C3371" s="1">
        <f>IFERROR(__xludf.DUMMYFUNCTION("""COMPUTED_VALUE"""),158.28)</f>
        <v>158.28</v>
      </c>
      <c r="D3371" s="1">
        <f>IFERROR(__xludf.DUMMYFUNCTION("""COMPUTED_VALUE"""),154.52)</f>
        <v>154.52</v>
      </c>
      <c r="E3371" s="1">
        <f>IFERROR(__xludf.DUMMYFUNCTION("""COMPUTED_VALUE"""),157.38)</f>
        <v>157.38</v>
      </c>
      <c r="F3371" s="1">
        <f>IFERROR(__xludf.DUMMYFUNCTION("""COMPUTED_VALUE"""),73168.0)</f>
        <v>73168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IFERROR(__xludf.DUMMYFUNCTION("""COMPUTED_VALUE"""),157.71)</f>
        <v>157.71</v>
      </c>
      <c r="C3372" s="1">
        <f>IFERROR(__xludf.DUMMYFUNCTION("""COMPUTED_VALUE"""),157.71)</f>
        <v>157.71</v>
      </c>
      <c r="D3372" s="1">
        <f>IFERROR(__xludf.DUMMYFUNCTION("""COMPUTED_VALUE"""),155.74)</f>
        <v>155.74</v>
      </c>
      <c r="E3372" s="1">
        <f>IFERROR(__xludf.DUMMYFUNCTION("""COMPUTED_VALUE"""),155.79)</f>
        <v>155.79</v>
      </c>
      <c r="F3372" s="1">
        <f>IFERROR(__xludf.DUMMYFUNCTION("""COMPUTED_VALUE"""),73630.0)</f>
        <v>73630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IFERROR(__xludf.DUMMYFUNCTION("""COMPUTED_VALUE"""),155.2)</f>
        <v>155.2</v>
      </c>
      <c r="C3373" s="1">
        <f>IFERROR(__xludf.DUMMYFUNCTION("""COMPUTED_VALUE"""),156.63)</f>
        <v>156.63</v>
      </c>
      <c r="D3373" s="1">
        <f>IFERROR(__xludf.DUMMYFUNCTION("""COMPUTED_VALUE"""),155.0)</f>
        <v>155</v>
      </c>
      <c r="E3373" s="1">
        <f>IFERROR(__xludf.DUMMYFUNCTION("""COMPUTED_VALUE"""),156.3)</f>
        <v>156.3</v>
      </c>
      <c r="F3373" s="1">
        <f>IFERROR(__xludf.DUMMYFUNCTION("""COMPUTED_VALUE"""),47279.0)</f>
        <v>47279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IFERROR(__xludf.DUMMYFUNCTION("""COMPUTED_VALUE"""),156.35)</f>
        <v>156.35</v>
      </c>
      <c r="C3374" s="1">
        <f>IFERROR(__xludf.DUMMYFUNCTION("""COMPUTED_VALUE"""),158.16)</f>
        <v>158.16</v>
      </c>
      <c r="D3374" s="1">
        <f>IFERROR(__xludf.DUMMYFUNCTION("""COMPUTED_VALUE"""),155.8)</f>
        <v>155.8</v>
      </c>
      <c r="E3374" s="1">
        <f>IFERROR(__xludf.DUMMYFUNCTION("""COMPUTED_VALUE"""),156.45)</f>
        <v>156.45</v>
      </c>
      <c r="F3374" s="1">
        <f>IFERROR(__xludf.DUMMYFUNCTION("""COMPUTED_VALUE"""),44810.0)</f>
        <v>44810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IFERROR(__xludf.DUMMYFUNCTION("""COMPUTED_VALUE"""),155.75)</f>
        <v>155.75</v>
      </c>
      <c r="C3375" s="1">
        <f>IFERROR(__xludf.DUMMYFUNCTION("""COMPUTED_VALUE"""),155.75)</f>
        <v>155.75</v>
      </c>
      <c r="D3375" s="1">
        <f>IFERROR(__xludf.DUMMYFUNCTION("""COMPUTED_VALUE"""),152.02)</f>
        <v>152.02</v>
      </c>
      <c r="E3375" s="1">
        <f>IFERROR(__xludf.DUMMYFUNCTION("""COMPUTED_VALUE"""),152.48)</f>
        <v>152.48</v>
      </c>
      <c r="F3375" s="1">
        <f>IFERROR(__xludf.DUMMYFUNCTION("""COMPUTED_VALUE"""),44531.0)</f>
        <v>44531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IFERROR(__xludf.DUMMYFUNCTION("""COMPUTED_VALUE"""),152.68)</f>
        <v>152.68</v>
      </c>
      <c r="C3376" s="1">
        <f>IFERROR(__xludf.DUMMYFUNCTION("""COMPUTED_VALUE"""),155.09)</f>
        <v>155.09</v>
      </c>
      <c r="D3376" s="1">
        <f>IFERROR(__xludf.DUMMYFUNCTION("""COMPUTED_VALUE"""),151.32)</f>
        <v>151.32</v>
      </c>
      <c r="E3376" s="1">
        <f>IFERROR(__xludf.DUMMYFUNCTION("""COMPUTED_VALUE"""),153.95)</f>
        <v>153.95</v>
      </c>
      <c r="F3376" s="1">
        <f>IFERROR(__xludf.DUMMYFUNCTION("""COMPUTED_VALUE"""),104406.0)</f>
        <v>104406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IFERROR(__xludf.DUMMYFUNCTION("""COMPUTED_VALUE"""),153.41)</f>
        <v>153.41</v>
      </c>
      <c r="C3377" s="1">
        <f>IFERROR(__xludf.DUMMYFUNCTION("""COMPUTED_VALUE"""),153.73)</f>
        <v>153.73</v>
      </c>
      <c r="D3377" s="1">
        <f>IFERROR(__xludf.DUMMYFUNCTION("""COMPUTED_VALUE"""),152.03)</f>
        <v>152.03</v>
      </c>
      <c r="E3377" s="1">
        <f>IFERROR(__xludf.DUMMYFUNCTION("""COMPUTED_VALUE"""),152.55)</f>
        <v>152.55</v>
      </c>
      <c r="F3377" s="1">
        <f>IFERROR(__xludf.DUMMYFUNCTION("""COMPUTED_VALUE"""),50689.0)</f>
        <v>50689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IFERROR(__xludf.DUMMYFUNCTION("""COMPUTED_VALUE"""),152.32)</f>
        <v>152.32</v>
      </c>
      <c r="C3378" s="1">
        <f>IFERROR(__xludf.DUMMYFUNCTION("""COMPUTED_VALUE"""),159.05)</f>
        <v>159.05</v>
      </c>
      <c r="D3378" s="1">
        <f>IFERROR(__xludf.DUMMYFUNCTION("""COMPUTED_VALUE"""),152.32)</f>
        <v>152.32</v>
      </c>
      <c r="E3378" s="1">
        <f>IFERROR(__xludf.DUMMYFUNCTION("""COMPUTED_VALUE"""),158.53)</f>
        <v>158.53</v>
      </c>
      <c r="F3378" s="1">
        <f>IFERROR(__xludf.DUMMYFUNCTION("""COMPUTED_VALUE"""),50883.0)</f>
        <v>50883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IFERROR(__xludf.DUMMYFUNCTION("""COMPUTED_VALUE"""),156.99)</f>
        <v>156.99</v>
      </c>
      <c r="C3379" s="1">
        <f>IFERROR(__xludf.DUMMYFUNCTION("""COMPUTED_VALUE"""),157.18)</f>
        <v>157.18</v>
      </c>
      <c r="D3379" s="1">
        <f>IFERROR(__xludf.DUMMYFUNCTION("""COMPUTED_VALUE"""),153.4)</f>
        <v>153.4</v>
      </c>
      <c r="E3379" s="1">
        <f>IFERROR(__xludf.DUMMYFUNCTION("""COMPUTED_VALUE"""),153.82)</f>
        <v>153.82</v>
      </c>
      <c r="F3379" s="1">
        <f>IFERROR(__xludf.DUMMYFUNCTION("""COMPUTED_VALUE"""),60725.0)</f>
        <v>60725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IFERROR(__xludf.DUMMYFUNCTION("""COMPUTED_VALUE"""),153.64)</f>
        <v>153.64</v>
      </c>
      <c r="C3380" s="1">
        <f>IFERROR(__xludf.DUMMYFUNCTION("""COMPUTED_VALUE"""),156.7)</f>
        <v>156.7</v>
      </c>
      <c r="D3380" s="1">
        <f>IFERROR(__xludf.DUMMYFUNCTION("""COMPUTED_VALUE"""),151.84)</f>
        <v>151.84</v>
      </c>
      <c r="E3380" s="1">
        <f>IFERROR(__xludf.DUMMYFUNCTION("""COMPUTED_VALUE"""),155.56)</f>
        <v>155.56</v>
      </c>
      <c r="F3380" s="1">
        <f>IFERROR(__xludf.DUMMYFUNCTION("""COMPUTED_VALUE"""),62403.0)</f>
        <v>62403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IFERROR(__xludf.DUMMYFUNCTION("""COMPUTED_VALUE"""),154.9)</f>
        <v>154.9</v>
      </c>
      <c r="C3381" s="1">
        <f>IFERROR(__xludf.DUMMYFUNCTION("""COMPUTED_VALUE"""),156.97)</f>
        <v>156.97</v>
      </c>
      <c r="D3381" s="1">
        <f>IFERROR(__xludf.DUMMYFUNCTION("""COMPUTED_VALUE"""),154.51)</f>
        <v>154.51</v>
      </c>
      <c r="E3381" s="1">
        <f>IFERROR(__xludf.DUMMYFUNCTION("""COMPUTED_VALUE"""),155.69)</f>
        <v>155.69</v>
      </c>
      <c r="F3381" s="1">
        <f>IFERROR(__xludf.DUMMYFUNCTION("""COMPUTED_VALUE"""),78812.0)</f>
        <v>78812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IFERROR(__xludf.DUMMYFUNCTION("""COMPUTED_VALUE"""),155.1)</f>
        <v>155.1</v>
      </c>
      <c r="C3382" s="1">
        <f>IFERROR(__xludf.DUMMYFUNCTION("""COMPUTED_VALUE"""),156.33)</f>
        <v>156.33</v>
      </c>
      <c r="D3382" s="1">
        <f>IFERROR(__xludf.DUMMYFUNCTION("""COMPUTED_VALUE"""),153.98)</f>
        <v>153.98</v>
      </c>
      <c r="E3382" s="1">
        <f>IFERROR(__xludf.DUMMYFUNCTION("""COMPUTED_VALUE"""),155.88)</f>
        <v>155.88</v>
      </c>
      <c r="F3382" s="1">
        <f>IFERROR(__xludf.DUMMYFUNCTION("""COMPUTED_VALUE"""),35875.0)</f>
        <v>35875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IFERROR(__xludf.DUMMYFUNCTION("""COMPUTED_VALUE"""),155.1)</f>
        <v>155.1</v>
      </c>
      <c r="C3383" s="1">
        <f>IFERROR(__xludf.DUMMYFUNCTION("""COMPUTED_VALUE"""),156.17)</f>
        <v>156.17</v>
      </c>
      <c r="D3383" s="1">
        <f>IFERROR(__xludf.DUMMYFUNCTION("""COMPUTED_VALUE"""),154.28)</f>
        <v>154.28</v>
      </c>
      <c r="E3383" s="1">
        <f>IFERROR(__xludf.DUMMYFUNCTION("""COMPUTED_VALUE"""),155.38)</f>
        <v>155.38</v>
      </c>
      <c r="F3383" s="1">
        <f>IFERROR(__xludf.DUMMYFUNCTION("""COMPUTED_VALUE"""),54488.0)</f>
        <v>54488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IFERROR(__xludf.DUMMYFUNCTION("""COMPUTED_VALUE"""),155.24)</f>
        <v>155.24</v>
      </c>
      <c r="C3384" s="1">
        <f>IFERROR(__xludf.DUMMYFUNCTION("""COMPUTED_VALUE"""),155.66)</f>
        <v>155.66</v>
      </c>
      <c r="D3384" s="1">
        <f>IFERROR(__xludf.DUMMYFUNCTION("""COMPUTED_VALUE"""),153.77)</f>
        <v>153.77</v>
      </c>
      <c r="E3384" s="1">
        <f>IFERROR(__xludf.DUMMYFUNCTION("""COMPUTED_VALUE"""),154.8)</f>
        <v>154.8</v>
      </c>
      <c r="F3384" s="1">
        <f>IFERROR(__xludf.DUMMYFUNCTION("""COMPUTED_VALUE"""),51116.0)</f>
        <v>51116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IFERROR(__xludf.DUMMYFUNCTION("""COMPUTED_VALUE"""),154.46)</f>
        <v>154.46</v>
      </c>
      <c r="C3385" s="1">
        <f>IFERROR(__xludf.DUMMYFUNCTION("""COMPUTED_VALUE"""),157.48)</f>
        <v>157.48</v>
      </c>
      <c r="D3385" s="1">
        <f>IFERROR(__xludf.DUMMYFUNCTION("""COMPUTED_VALUE"""),154.17)</f>
        <v>154.17</v>
      </c>
      <c r="E3385" s="1">
        <f>IFERROR(__xludf.DUMMYFUNCTION("""COMPUTED_VALUE"""),155.24)</f>
        <v>155.24</v>
      </c>
      <c r="F3385" s="1">
        <f>IFERROR(__xludf.DUMMYFUNCTION("""COMPUTED_VALUE"""),71121.0)</f>
        <v>71121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IFERROR(__xludf.DUMMYFUNCTION("""COMPUTED_VALUE"""),155.26)</f>
        <v>155.26</v>
      </c>
      <c r="C3386" s="1">
        <f>IFERROR(__xludf.DUMMYFUNCTION("""COMPUTED_VALUE"""),155.74)</f>
        <v>155.74</v>
      </c>
      <c r="D3386" s="1">
        <f>IFERROR(__xludf.DUMMYFUNCTION("""COMPUTED_VALUE"""),153.06)</f>
        <v>153.06</v>
      </c>
      <c r="E3386" s="1">
        <f>IFERROR(__xludf.DUMMYFUNCTION("""COMPUTED_VALUE"""),153.29)</f>
        <v>153.29</v>
      </c>
      <c r="F3386" s="1">
        <f>IFERROR(__xludf.DUMMYFUNCTION("""COMPUTED_VALUE"""),64578.0)</f>
        <v>64578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IFERROR(__xludf.DUMMYFUNCTION("""COMPUTED_VALUE"""),153.69)</f>
        <v>153.69</v>
      </c>
      <c r="C3387" s="1">
        <f>IFERROR(__xludf.DUMMYFUNCTION("""COMPUTED_VALUE"""),155.51)</f>
        <v>155.51</v>
      </c>
      <c r="D3387" s="1">
        <f>IFERROR(__xludf.DUMMYFUNCTION("""COMPUTED_VALUE"""),153.01)</f>
        <v>153.01</v>
      </c>
      <c r="E3387" s="1">
        <f>IFERROR(__xludf.DUMMYFUNCTION("""COMPUTED_VALUE"""),154.77)</f>
        <v>154.77</v>
      </c>
      <c r="F3387" s="1">
        <f>IFERROR(__xludf.DUMMYFUNCTION("""COMPUTED_VALUE"""),59200.0)</f>
        <v>59200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IFERROR(__xludf.DUMMYFUNCTION("""COMPUTED_VALUE"""),156.25)</f>
        <v>156.25</v>
      </c>
      <c r="C3388" s="1">
        <f>IFERROR(__xludf.DUMMYFUNCTION("""COMPUTED_VALUE"""),156.53)</f>
        <v>156.53</v>
      </c>
      <c r="D3388" s="1">
        <f>IFERROR(__xludf.DUMMYFUNCTION("""COMPUTED_VALUE"""),153.57)</f>
        <v>153.57</v>
      </c>
      <c r="E3388" s="1">
        <f>IFERROR(__xludf.DUMMYFUNCTION("""COMPUTED_VALUE"""),155.68)</f>
        <v>155.68</v>
      </c>
      <c r="F3388" s="1">
        <f>IFERROR(__xludf.DUMMYFUNCTION("""COMPUTED_VALUE"""),190077.0)</f>
        <v>190077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IFERROR(__xludf.DUMMYFUNCTION("""COMPUTED_VALUE"""),156.15)</f>
        <v>156.15</v>
      </c>
      <c r="C3389" s="1">
        <f>IFERROR(__xludf.DUMMYFUNCTION("""COMPUTED_VALUE"""),157.2)</f>
        <v>157.2</v>
      </c>
      <c r="D3389" s="1">
        <f>IFERROR(__xludf.DUMMYFUNCTION("""COMPUTED_VALUE"""),154.37)</f>
        <v>154.37</v>
      </c>
      <c r="E3389" s="1">
        <f>IFERROR(__xludf.DUMMYFUNCTION("""COMPUTED_VALUE"""),155.88)</f>
        <v>155.88</v>
      </c>
      <c r="F3389" s="1">
        <f>IFERROR(__xludf.DUMMYFUNCTION("""COMPUTED_VALUE"""),59943.0)</f>
        <v>59943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IFERROR(__xludf.DUMMYFUNCTION("""COMPUTED_VALUE"""),155.99)</f>
        <v>155.99</v>
      </c>
      <c r="C3390" s="1">
        <f>IFERROR(__xludf.DUMMYFUNCTION("""COMPUTED_VALUE"""),157.44)</f>
        <v>157.44</v>
      </c>
      <c r="D3390" s="1">
        <f>IFERROR(__xludf.DUMMYFUNCTION("""COMPUTED_VALUE"""),155.06)</f>
        <v>155.06</v>
      </c>
      <c r="E3390" s="1">
        <f>IFERROR(__xludf.DUMMYFUNCTION("""COMPUTED_VALUE"""),156.54)</f>
        <v>156.54</v>
      </c>
      <c r="F3390" s="1">
        <f>IFERROR(__xludf.DUMMYFUNCTION("""COMPUTED_VALUE"""),83327.0)</f>
        <v>83327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IFERROR(__xludf.DUMMYFUNCTION("""COMPUTED_VALUE"""),157.11)</f>
        <v>157.11</v>
      </c>
      <c r="C3391" s="1">
        <f>IFERROR(__xludf.DUMMYFUNCTION("""COMPUTED_VALUE"""),157.4)</f>
        <v>157.4</v>
      </c>
      <c r="D3391" s="1">
        <f>IFERROR(__xludf.DUMMYFUNCTION("""COMPUTED_VALUE"""),155.98)</f>
        <v>155.98</v>
      </c>
      <c r="E3391" s="1">
        <f>IFERROR(__xludf.DUMMYFUNCTION("""COMPUTED_VALUE"""),156.62)</f>
        <v>156.62</v>
      </c>
      <c r="F3391" s="1">
        <f>IFERROR(__xludf.DUMMYFUNCTION("""COMPUTED_VALUE"""),73218.0)</f>
        <v>73218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IFERROR(__xludf.DUMMYFUNCTION("""COMPUTED_VALUE"""),155.99)</f>
        <v>155.99</v>
      </c>
      <c r="C3392" s="1">
        <f>IFERROR(__xludf.DUMMYFUNCTION("""COMPUTED_VALUE"""),157.45)</f>
        <v>157.45</v>
      </c>
      <c r="D3392" s="1">
        <f>IFERROR(__xludf.DUMMYFUNCTION("""COMPUTED_VALUE"""),155.17)</f>
        <v>155.17</v>
      </c>
      <c r="E3392" s="1">
        <f>IFERROR(__xludf.DUMMYFUNCTION("""COMPUTED_VALUE"""),156.12)</f>
        <v>156.12</v>
      </c>
      <c r="F3392" s="1">
        <f>IFERROR(__xludf.DUMMYFUNCTION("""COMPUTED_VALUE"""),167119.0)</f>
        <v>167119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IFERROR(__xludf.DUMMYFUNCTION("""COMPUTED_VALUE"""),155.75)</f>
        <v>155.75</v>
      </c>
      <c r="C3393" s="1">
        <f>IFERROR(__xludf.DUMMYFUNCTION("""COMPUTED_VALUE"""),156.74)</f>
        <v>156.74</v>
      </c>
      <c r="D3393" s="1">
        <f>IFERROR(__xludf.DUMMYFUNCTION("""COMPUTED_VALUE"""),153.56)</f>
        <v>153.56</v>
      </c>
      <c r="E3393" s="1">
        <f>IFERROR(__xludf.DUMMYFUNCTION("""COMPUTED_VALUE"""),156.1)</f>
        <v>156.1</v>
      </c>
      <c r="F3393" s="1">
        <f>IFERROR(__xludf.DUMMYFUNCTION("""COMPUTED_VALUE"""),51534.0)</f>
        <v>51534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IFERROR(__xludf.DUMMYFUNCTION("""COMPUTED_VALUE"""),156.6)</f>
        <v>156.6</v>
      </c>
      <c r="C3394" s="1">
        <f>IFERROR(__xludf.DUMMYFUNCTION("""COMPUTED_VALUE"""),157.44)</f>
        <v>157.44</v>
      </c>
      <c r="D3394" s="1">
        <f>IFERROR(__xludf.DUMMYFUNCTION("""COMPUTED_VALUE"""),155.11)</f>
        <v>155.11</v>
      </c>
      <c r="E3394" s="1">
        <f>IFERROR(__xludf.DUMMYFUNCTION("""COMPUTED_VALUE"""),155.57)</f>
        <v>155.57</v>
      </c>
      <c r="F3394" s="1">
        <f>IFERROR(__xludf.DUMMYFUNCTION("""COMPUTED_VALUE"""),65296.0)</f>
        <v>65296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IFERROR(__xludf.DUMMYFUNCTION("""COMPUTED_VALUE"""),155.4)</f>
        <v>155.4</v>
      </c>
      <c r="C3395" s="1">
        <f>IFERROR(__xludf.DUMMYFUNCTION("""COMPUTED_VALUE"""),156.89)</f>
        <v>156.89</v>
      </c>
      <c r="D3395" s="1">
        <f>IFERROR(__xludf.DUMMYFUNCTION("""COMPUTED_VALUE"""),153.31)</f>
        <v>153.31</v>
      </c>
      <c r="E3395" s="1">
        <f>IFERROR(__xludf.DUMMYFUNCTION("""COMPUTED_VALUE"""),155.99)</f>
        <v>155.99</v>
      </c>
      <c r="F3395" s="1">
        <f>IFERROR(__xludf.DUMMYFUNCTION("""COMPUTED_VALUE"""),77746.0)</f>
        <v>77746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IFERROR(__xludf.DUMMYFUNCTION("""COMPUTED_VALUE"""),155.4)</f>
        <v>155.4</v>
      </c>
      <c r="C3396" s="1">
        <f>IFERROR(__xludf.DUMMYFUNCTION("""COMPUTED_VALUE"""),159.4)</f>
        <v>159.4</v>
      </c>
      <c r="D3396" s="1">
        <f>IFERROR(__xludf.DUMMYFUNCTION("""COMPUTED_VALUE"""),155.4)</f>
        <v>155.4</v>
      </c>
      <c r="E3396" s="1">
        <f>IFERROR(__xludf.DUMMYFUNCTION("""COMPUTED_VALUE"""),158.95)</f>
        <v>158.95</v>
      </c>
      <c r="F3396" s="1">
        <f>IFERROR(__xludf.DUMMYFUNCTION("""COMPUTED_VALUE"""),60311.0)</f>
        <v>60311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IFERROR(__xludf.DUMMYFUNCTION("""COMPUTED_VALUE"""),159.43)</f>
        <v>159.43</v>
      </c>
      <c r="C3397" s="1">
        <f>IFERROR(__xludf.DUMMYFUNCTION("""COMPUTED_VALUE"""),159.81)</f>
        <v>159.81</v>
      </c>
      <c r="D3397" s="1">
        <f>IFERROR(__xludf.DUMMYFUNCTION("""COMPUTED_VALUE"""),158.13)</f>
        <v>158.13</v>
      </c>
      <c r="E3397" s="1">
        <f>IFERROR(__xludf.DUMMYFUNCTION("""COMPUTED_VALUE"""),158.36)</f>
        <v>158.36</v>
      </c>
      <c r="F3397" s="1">
        <f>IFERROR(__xludf.DUMMYFUNCTION("""COMPUTED_VALUE"""),52402.0)</f>
        <v>52402</v>
      </c>
    </row>
    <row r="3398">
      <c r="A3398" s="2">
        <f>IFERROR(__xludf.DUMMYFUNCTION("""COMPUTED_VALUE"""),45110.54513888889)</f>
        <v>45110.54514</v>
      </c>
      <c r="B3398" s="1">
        <f>IFERROR(__xludf.DUMMYFUNCTION("""COMPUTED_VALUE"""),157.7)</f>
        <v>157.7</v>
      </c>
      <c r="C3398" s="1">
        <f>IFERROR(__xludf.DUMMYFUNCTION("""COMPUTED_VALUE"""),158.89)</f>
        <v>158.89</v>
      </c>
      <c r="D3398" s="1">
        <f>IFERROR(__xludf.DUMMYFUNCTION("""COMPUTED_VALUE"""),157.7)</f>
        <v>157.7</v>
      </c>
      <c r="E3398" s="1">
        <f>IFERROR(__xludf.DUMMYFUNCTION("""COMPUTED_VALUE"""),158.22)</f>
        <v>158.22</v>
      </c>
      <c r="F3398" s="1">
        <f>IFERROR(__xludf.DUMMYFUNCTION("""COMPUTED_VALUE"""),24843.0)</f>
        <v>24843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IFERROR(__xludf.DUMMYFUNCTION("""COMPUTED_VALUE"""),157.06)</f>
        <v>157.06</v>
      </c>
      <c r="C3399" s="1">
        <f>IFERROR(__xludf.DUMMYFUNCTION("""COMPUTED_VALUE"""),158.64)</f>
        <v>158.64</v>
      </c>
      <c r="D3399" s="1">
        <f>IFERROR(__xludf.DUMMYFUNCTION("""COMPUTED_VALUE"""),156.42)</f>
        <v>156.42</v>
      </c>
      <c r="E3399" s="1">
        <f>IFERROR(__xludf.DUMMYFUNCTION("""COMPUTED_VALUE"""),157.6)</f>
        <v>157.6</v>
      </c>
      <c r="F3399" s="1">
        <f>IFERROR(__xludf.DUMMYFUNCTION("""COMPUTED_VALUE"""),45547.0)</f>
        <v>45547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IFERROR(__xludf.DUMMYFUNCTION("""COMPUTED_VALUE"""),156.46)</f>
        <v>156.46</v>
      </c>
      <c r="C3400" s="1">
        <f>IFERROR(__xludf.DUMMYFUNCTION("""COMPUTED_VALUE"""),158.08)</f>
        <v>158.08</v>
      </c>
      <c r="D3400" s="1">
        <f>IFERROR(__xludf.DUMMYFUNCTION("""COMPUTED_VALUE"""),156.25)</f>
        <v>156.25</v>
      </c>
      <c r="E3400" s="1">
        <f>IFERROR(__xludf.DUMMYFUNCTION("""COMPUTED_VALUE"""),157.2)</f>
        <v>157.2</v>
      </c>
      <c r="F3400" s="1">
        <f>IFERROR(__xludf.DUMMYFUNCTION("""COMPUTED_VALUE"""),39466.0)</f>
        <v>39466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IFERROR(__xludf.DUMMYFUNCTION("""COMPUTED_VALUE"""),157.57)</f>
        <v>157.57</v>
      </c>
      <c r="C3401" s="1">
        <f>IFERROR(__xludf.DUMMYFUNCTION("""COMPUTED_VALUE"""),158.82)</f>
        <v>158.82</v>
      </c>
      <c r="D3401" s="1">
        <f>IFERROR(__xludf.DUMMYFUNCTION("""COMPUTED_VALUE"""),157.12)</f>
        <v>157.12</v>
      </c>
      <c r="E3401" s="1">
        <f>IFERROR(__xludf.DUMMYFUNCTION("""COMPUTED_VALUE"""),158.7)</f>
        <v>158.7</v>
      </c>
      <c r="F3401" s="1">
        <f>IFERROR(__xludf.DUMMYFUNCTION("""COMPUTED_VALUE"""),70514.0)</f>
        <v>70514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IFERROR(__xludf.DUMMYFUNCTION("""COMPUTED_VALUE"""),158.59)</f>
        <v>158.59</v>
      </c>
      <c r="C3402" s="1">
        <f>IFERROR(__xludf.DUMMYFUNCTION("""COMPUTED_VALUE"""),160.98)</f>
        <v>160.98</v>
      </c>
      <c r="D3402" s="1">
        <f>IFERROR(__xludf.DUMMYFUNCTION("""COMPUTED_VALUE"""),157.07)</f>
        <v>157.07</v>
      </c>
      <c r="E3402" s="1">
        <f>IFERROR(__xludf.DUMMYFUNCTION("""COMPUTED_VALUE"""),157.28)</f>
        <v>157.28</v>
      </c>
      <c r="F3402" s="1">
        <f>IFERROR(__xludf.DUMMYFUNCTION("""COMPUTED_VALUE"""),49379.0)</f>
        <v>49379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IFERROR(__xludf.DUMMYFUNCTION("""COMPUTED_VALUE"""),157.34)</f>
        <v>157.34</v>
      </c>
      <c r="C3403" s="1">
        <f>IFERROR(__xludf.DUMMYFUNCTION("""COMPUTED_VALUE"""),158.42)</f>
        <v>158.42</v>
      </c>
      <c r="D3403" s="1">
        <f>IFERROR(__xludf.DUMMYFUNCTION("""COMPUTED_VALUE"""),153.02)</f>
        <v>153.02</v>
      </c>
      <c r="E3403" s="1">
        <f>IFERROR(__xludf.DUMMYFUNCTION("""COMPUTED_VALUE"""),154.14)</f>
        <v>154.14</v>
      </c>
      <c r="F3403" s="1">
        <f>IFERROR(__xludf.DUMMYFUNCTION("""COMPUTED_VALUE"""),54496.0)</f>
        <v>54496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IFERROR(__xludf.DUMMYFUNCTION("""COMPUTED_VALUE"""),155.49)</f>
        <v>155.49</v>
      </c>
      <c r="C3404" s="1">
        <f>IFERROR(__xludf.DUMMYFUNCTION("""COMPUTED_VALUE"""),158.93)</f>
        <v>158.93</v>
      </c>
      <c r="D3404" s="1">
        <f>IFERROR(__xludf.DUMMYFUNCTION("""COMPUTED_VALUE"""),155.49)</f>
        <v>155.49</v>
      </c>
      <c r="E3404" s="1">
        <f>IFERROR(__xludf.DUMMYFUNCTION("""COMPUTED_VALUE"""),157.6)</f>
        <v>157.6</v>
      </c>
      <c r="F3404" s="1">
        <f>IFERROR(__xludf.DUMMYFUNCTION("""COMPUTED_VALUE"""),68112.0)</f>
        <v>68112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IFERROR(__xludf.DUMMYFUNCTION("""COMPUTED_VALUE"""),157.6)</f>
        <v>157.6</v>
      </c>
      <c r="C3405" s="1">
        <f>IFERROR(__xludf.DUMMYFUNCTION("""COMPUTED_VALUE"""),159.38)</f>
        <v>159.38</v>
      </c>
      <c r="D3405" s="1">
        <f>IFERROR(__xludf.DUMMYFUNCTION("""COMPUTED_VALUE"""),157.4)</f>
        <v>157.4</v>
      </c>
      <c r="E3405" s="1">
        <f>IFERROR(__xludf.DUMMYFUNCTION("""COMPUTED_VALUE"""),158.33)</f>
        <v>158.33</v>
      </c>
      <c r="F3405" s="1">
        <f>IFERROR(__xludf.DUMMYFUNCTION("""COMPUTED_VALUE"""),67363.0)</f>
        <v>67363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IFERROR(__xludf.DUMMYFUNCTION("""COMPUTED_VALUE"""),157.98)</f>
        <v>157.98</v>
      </c>
      <c r="C3406" s="1">
        <f>IFERROR(__xludf.DUMMYFUNCTION("""COMPUTED_VALUE"""),158.73)</f>
        <v>158.73</v>
      </c>
      <c r="D3406" s="1">
        <f>IFERROR(__xludf.DUMMYFUNCTION("""COMPUTED_VALUE"""),156.08)</f>
        <v>156.08</v>
      </c>
      <c r="E3406" s="1">
        <f>IFERROR(__xludf.DUMMYFUNCTION("""COMPUTED_VALUE"""),158.05)</f>
        <v>158.05</v>
      </c>
      <c r="F3406" s="1">
        <f>IFERROR(__xludf.DUMMYFUNCTION("""COMPUTED_VALUE"""),51036.0)</f>
        <v>51036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IFERROR(__xludf.DUMMYFUNCTION("""COMPUTED_VALUE"""),157.47)</f>
        <v>157.47</v>
      </c>
      <c r="C3407" s="1">
        <f>IFERROR(__xludf.DUMMYFUNCTION("""COMPUTED_VALUE"""),159.18)</f>
        <v>159.18</v>
      </c>
      <c r="D3407" s="1">
        <f>IFERROR(__xludf.DUMMYFUNCTION("""COMPUTED_VALUE"""),156.35)</f>
        <v>156.35</v>
      </c>
      <c r="E3407" s="1">
        <f>IFERROR(__xludf.DUMMYFUNCTION("""COMPUTED_VALUE"""),156.43)</f>
        <v>156.43</v>
      </c>
      <c r="F3407" s="1">
        <f>IFERROR(__xludf.DUMMYFUNCTION("""COMPUTED_VALUE"""),56552.0)</f>
        <v>56552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IFERROR(__xludf.DUMMYFUNCTION("""COMPUTED_VALUE"""),156.43)</f>
        <v>156.43</v>
      </c>
      <c r="C3408" s="1">
        <f>IFERROR(__xludf.DUMMYFUNCTION("""COMPUTED_VALUE"""),158.44)</f>
        <v>158.44</v>
      </c>
      <c r="D3408" s="1">
        <f>IFERROR(__xludf.DUMMYFUNCTION("""COMPUTED_VALUE"""),155.31)</f>
        <v>155.31</v>
      </c>
      <c r="E3408" s="1">
        <f>IFERROR(__xludf.DUMMYFUNCTION("""COMPUTED_VALUE"""),157.58)</f>
        <v>157.58</v>
      </c>
      <c r="F3408" s="1">
        <f>IFERROR(__xludf.DUMMYFUNCTION("""COMPUTED_VALUE"""),54783.0)</f>
        <v>54783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IFERROR(__xludf.DUMMYFUNCTION("""COMPUTED_VALUE"""),158.23)</f>
        <v>158.23</v>
      </c>
      <c r="C3409" s="1">
        <f>IFERROR(__xludf.DUMMYFUNCTION("""COMPUTED_VALUE"""),159.63)</f>
        <v>159.63</v>
      </c>
      <c r="D3409" s="1">
        <f>IFERROR(__xludf.DUMMYFUNCTION("""COMPUTED_VALUE"""),157.68)</f>
        <v>157.68</v>
      </c>
      <c r="E3409" s="1">
        <f>IFERROR(__xludf.DUMMYFUNCTION("""COMPUTED_VALUE"""),158.87)</f>
        <v>158.87</v>
      </c>
      <c r="F3409" s="1">
        <f>IFERROR(__xludf.DUMMYFUNCTION("""COMPUTED_VALUE"""),47789.0)</f>
        <v>47789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IFERROR(__xludf.DUMMYFUNCTION("""COMPUTED_VALUE"""),158.87)</f>
        <v>158.87</v>
      </c>
      <c r="C3410" s="1">
        <f>IFERROR(__xludf.DUMMYFUNCTION("""COMPUTED_VALUE"""),160.91)</f>
        <v>160.91</v>
      </c>
      <c r="D3410" s="1">
        <f>IFERROR(__xludf.DUMMYFUNCTION("""COMPUTED_VALUE"""),158.06)</f>
        <v>158.06</v>
      </c>
      <c r="E3410" s="1">
        <f>IFERROR(__xludf.DUMMYFUNCTION("""COMPUTED_VALUE"""),160.91)</f>
        <v>160.91</v>
      </c>
      <c r="F3410" s="1">
        <f>IFERROR(__xludf.DUMMYFUNCTION("""COMPUTED_VALUE"""),34097.0)</f>
        <v>34097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IFERROR(__xludf.DUMMYFUNCTION("""COMPUTED_VALUE"""),161.13)</f>
        <v>161.13</v>
      </c>
      <c r="C3411" s="1">
        <f>IFERROR(__xludf.DUMMYFUNCTION("""COMPUTED_VALUE"""),161.88)</f>
        <v>161.88</v>
      </c>
      <c r="D3411" s="1">
        <f>IFERROR(__xludf.DUMMYFUNCTION("""COMPUTED_VALUE"""),160.54)</f>
        <v>160.54</v>
      </c>
      <c r="E3411" s="1">
        <f>IFERROR(__xludf.DUMMYFUNCTION("""COMPUTED_VALUE"""),160.89)</f>
        <v>160.89</v>
      </c>
      <c r="F3411" s="1">
        <f>IFERROR(__xludf.DUMMYFUNCTION("""COMPUTED_VALUE"""),59599.0)</f>
        <v>59599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IFERROR(__xludf.DUMMYFUNCTION("""COMPUTED_VALUE"""),160.53)</f>
        <v>160.53</v>
      </c>
      <c r="C3412" s="1">
        <f>IFERROR(__xludf.DUMMYFUNCTION("""COMPUTED_VALUE"""),161.06)</f>
        <v>161.06</v>
      </c>
      <c r="D3412" s="1">
        <f>IFERROR(__xludf.DUMMYFUNCTION("""COMPUTED_VALUE"""),157.88)</f>
        <v>157.88</v>
      </c>
      <c r="E3412" s="1">
        <f>IFERROR(__xludf.DUMMYFUNCTION("""COMPUTED_VALUE"""),160.54)</f>
        <v>160.54</v>
      </c>
      <c r="F3412" s="1">
        <f>IFERROR(__xludf.DUMMYFUNCTION("""COMPUTED_VALUE"""),30663.0)</f>
        <v>30663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IFERROR(__xludf.DUMMYFUNCTION("""COMPUTED_VALUE"""),160.7)</f>
        <v>160.7</v>
      </c>
      <c r="C3413" s="1">
        <f>IFERROR(__xludf.DUMMYFUNCTION("""COMPUTED_VALUE"""),164.64)</f>
        <v>164.64</v>
      </c>
      <c r="D3413" s="1">
        <f>IFERROR(__xludf.DUMMYFUNCTION("""COMPUTED_VALUE"""),160.45)</f>
        <v>160.45</v>
      </c>
      <c r="E3413" s="1">
        <f>IFERROR(__xludf.DUMMYFUNCTION("""COMPUTED_VALUE"""),164.64)</f>
        <v>164.64</v>
      </c>
      <c r="F3413" s="1">
        <f>IFERROR(__xludf.DUMMYFUNCTION("""COMPUTED_VALUE"""),67780.0)</f>
        <v>67780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IFERROR(__xludf.DUMMYFUNCTION("""COMPUTED_VALUE"""),164.14)</f>
        <v>164.14</v>
      </c>
      <c r="C3414" s="1">
        <f>IFERROR(__xludf.DUMMYFUNCTION("""COMPUTED_VALUE"""),164.5)</f>
        <v>164.5</v>
      </c>
      <c r="D3414" s="1">
        <f>IFERROR(__xludf.DUMMYFUNCTION("""COMPUTED_VALUE"""),161.45)</f>
        <v>161.45</v>
      </c>
      <c r="E3414" s="1">
        <f>IFERROR(__xludf.DUMMYFUNCTION("""COMPUTED_VALUE"""),163.44)</f>
        <v>163.44</v>
      </c>
      <c r="F3414" s="1">
        <f>IFERROR(__xludf.DUMMYFUNCTION("""COMPUTED_VALUE"""),47705.0)</f>
        <v>47705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IFERROR(__xludf.DUMMYFUNCTION("""COMPUTED_VALUE"""),164.05)</f>
        <v>164.05</v>
      </c>
      <c r="C3415" s="1">
        <f>IFERROR(__xludf.DUMMYFUNCTION("""COMPUTED_VALUE"""),164.05)</f>
        <v>164.05</v>
      </c>
      <c r="D3415" s="1">
        <f>IFERROR(__xludf.DUMMYFUNCTION("""COMPUTED_VALUE"""),158.45)</f>
        <v>158.45</v>
      </c>
      <c r="E3415" s="1">
        <f>IFERROR(__xludf.DUMMYFUNCTION("""COMPUTED_VALUE"""),159.07)</f>
        <v>159.07</v>
      </c>
      <c r="F3415" s="1">
        <f>IFERROR(__xludf.DUMMYFUNCTION("""COMPUTED_VALUE"""),102491.0)</f>
        <v>102491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IFERROR(__xludf.DUMMYFUNCTION("""COMPUTED_VALUE"""),159.59)</f>
        <v>159.59</v>
      </c>
      <c r="C3416" s="1">
        <f>IFERROR(__xludf.DUMMYFUNCTION("""COMPUTED_VALUE"""),161.4)</f>
        <v>161.4</v>
      </c>
      <c r="D3416" s="1">
        <f>IFERROR(__xludf.DUMMYFUNCTION("""COMPUTED_VALUE"""),158.07)</f>
        <v>158.07</v>
      </c>
      <c r="E3416" s="1">
        <f>IFERROR(__xludf.DUMMYFUNCTION("""COMPUTED_VALUE"""),158.11)</f>
        <v>158.11</v>
      </c>
      <c r="F3416" s="1">
        <f>IFERROR(__xludf.DUMMYFUNCTION("""COMPUTED_VALUE"""),57903.0)</f>
        <v>57903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IFERROR(__xludf.DUMMYFUNCTION("""COMPUTED_VALUE"""),157.97)</f>
        <v>157.97</v>
      </c>
      <c r="C3417" s="1">
        <f>IFERROR(__xludf.DUMMYFUNCTION("""COMPUTED_VALUE"""),161.09)</f>
        <v>161.09</v>
      </c>
      <c r="D3417" s="1">
        <f>IFERROR(__xludf.DUMMYFUNCTION("""COMPUTED_VALUE"""),157.97)</f>
        <v>157.97</v>
      </c>
      <c r="E3417" s="1">
        <f>IFERROR(__xludf.DUMMYFUNCTION("""COMPUTED_VALUE"""),160.32)</f>
        <v>160.32</v>
      </c>
      <c r="F3417" s="1">
        <f>IFERROR(__xludf.DUMMYFUNCTION("""COMPUTED_VALUE"""),100452.0)</f>
        <v>100452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IFERROR(__xludf.DUMMYFUNCTION("""COMPUTED_VALUE"""),164.0)</f>
        <v>164</v>
      </c>
      <c r="C3418" s="1">
        <f>IFERROR(__xludf.DUMMYFUNCTION("""COMPUTED_VALUE"""),176.5)</f>
        <v>176.5</v>
      </c>
      <c r="D3418" s="1">
        <f>IFERROR(__xludf.DUMMYFUNCTION("""COMPUTED_VALUE"""),164.0)</f>
        <v>164</v>
      </c>
      <c r="E3418" s="1">
        <f>IFERROR(__xludf.DUMMYFUNCTION("""COMPUTED_VALUE"""),170.46)</f>
        <v>170.46</v>
      </c>
      <c r="F3418" s="1">
        <f>IFERROR(__xludf.DUMMYFUNCTION("""COMPUTED_VALUE"""),148469.0)</f>
        <v>148469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IFERROR(__xludf.DUMMYFUNCTION("""COMPUTED_VALUE"""),169.5)</f>
        <v>169.5</v>
      </c>
      <c r="C3419" s="1">
        <f>IFERROR(__xludf.DUMMYFUNCTION("""COMPUTED_VALUE"""),177.35)</f>
        <v>177.35</v>
      </c>
      <c r="D3419" s="1">
        <f>IFERROR(__xludf.DUMMYFUNCTION("""COMPUTED_VALUE"""),169.4)</f>
        <v>169.4</v>
      </c>
      <c r="E3419" s="1">
        <f>IFERROR(__xludf.DUMMYFUNCTION("""COMPUTED_VALUE"""),177.17)</f>
        <v>177.17</v>
      </c>
      <c r="F3419" s="1">
        <f>IFERROR(__xludf.DUMMYFUNCTION("""COMPUTED_VALUE"""),108998.0)</f>
        <v>108998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IFERROR(__xludf.DUMMYFUNCTION("""COMPUTED_VALUE"""),177.5)</f>
        <v>177.5</v>
      </c>
      <c r="C3420" s="1">
        <f>IFERROR(__xludf.DUMMYFUNCTION("""COMPUTED_VALUE"""),177.71)</f>
        <v>177.71</v>
      </c>
      <c r="D3420" s="1">
        <f>IFERROR(__xludf.DUMMYFUNCTION("""COMPUTED_VALUE"""),173.98)</f>
        <v>173.98</v>
      </c>
      <c r="E3420" s="1">
        <f>IFERROR(__xludf.DUMMYFUNCTION("""COMPUTED_VALUE"""),175.01)</f>
        <v>175.01</v>
      </c>
      <c r="F3420" s="1">
        <f>IFERROR(__xludf.DUMMYFUNCTION("""COMPUTED_VALUE"""),79084.0)</f>
        <v>79084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IFERROR(__xludf.DUMMYFUNCTION("""COMPUTED_VALUE"""),176.04)</f>
        <v>176.04</v>
      </c>
      <c r="C3421" s="1">
        <f>IFERROR(__xludf.DUMMYFUNCTION("""COMPUTED_VALUE"""),176.67)</f>
        <v>176.67</v>
      </c>
      <c r="D3421" s="1">
        <f>IFERROR(__xludf.DUMMYFUNCTION("""COMPUTED_VALUE"""),172.4)</f>
        <v>172.4</v>
      </c>
      <c r="E3421" s="1">
        <f>IFERROR(__xludf.DUMMYFUNCTION("""COMPUTED_VALUE"""),172.8)</f>
        <v>172.8</v>
      </c>
      <c r="F3421" s="1">
        <f>IFERROR(__xludf.DUMMYFUNCTION("""COMPUTED_VALUE"""),86140.0)</f>
        <v>86140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IFERROR(__xludf.DUMMYFUNCTION("""COMPUTED_VALUE"""),172.12)</f>
        <v>172.12</v>
      </c>
      <c r="C3422" s="1">
        <f>IFERROR(__xludf.DUMMYFUNCTION("""COMPUTED_VALUE"""),174.34)</f>
        <v>174.34</v>
      </c>
      <c r="D3422" s="1">
        <f>IFERROR(__xludf.DUMMYFUNCTION("""COMPUTED_VALUE"""),171.58)</f>
        <v>171.58</v>
      </c>
      <c r="E3422" s="1">
        <f>IFERROR(__xludf.DUMMYFUNCTION("""COMPUTED_VALUE"""),173.87)</f>
        <v>173.87</v>
      </c>
      <c r="F3422" s="1">
        <f>IFERROR(__xludf.DUMMYFUNCTION("""COMPUTED_VALUE"""),52900.0)</f>
        <v>52900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IFERROR(__xludf.DUMMYFUNCTION("""COMPUTED_VALUE"""),173.71)</f>
        <v>173.71</v>
      </c>
      <c r="C3423" s="1">
        <f>IFERROR(__xludf.DUMMYFUNCTION("""COMPUTED_VALUE"""),173.71)</f>
        <v>173.71</v>
      </c>
      <c r="D3423" s="1">
        <f>IFERROR(__xludf.DUMMYFUNCTION("""COMPUTED_VALUE"""),169.6)</f>
        <v>169.6</v>
      </c>
      <c r="E3423" s="1">
        <f>IFERROR(__xludf.DUMMYFUNCTION("""COMPUTED_VALUE"""),171.04)</f>
        <v>171.04</v>
      </c>
      <c r="F3423" s="1">
        <f>IFERROR(__xludf.DUMMYFUNCTION("""COMPUTED_VALUE"""),71092.0)</f>
        <v>71092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IFERROR(__xludf.DUMMYFUNCTION("""COMPUTED_VALUE"""),171.57)</f>
        <v>171.57</v>
      </c>
      <c r="C3424" s="1">
        <f>IFERROR(__xludf.DUMMYFUNCTION("""COMPUTED_VALUE"""),171.57)</f>
        <v>171.57</v>
      </c>
      <c r="D3424" s="1">
        <f>IFERROR(__xludf.DUMMYFUNCTION("""COMPUTED_VALUE"""),169.44)</f>
        <v>169.44</v>
      </c>
      <c r="E3424" s="1">
        <f>IFERROR(__xludf.DUMMYFUNCTION("""COMPUTED_VALUE"""),170.1)</f>
        <v>170.1</v>
      </c>
      <c r="F3424" s="1">
        <f>IFERROR(__xludf.DUMMYFUNCTION("""COMPUTED_VALUE"""),69194.0)</f>
        <v>69194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IFERROR(__xludf.DUMMYFUNCTION("""COMPUTED_VALUE"""),170.53)</f>
        <v>170.53</v>
      </c>
      <c r="C3425" s="1">
        <f>IFERROR(__xludf.DUMMYFUNCTION("""COMPUTED_VALUE"""),172.72)</f>
        <v>172.72</v>
      </c>
      <c r="D3425" s="1">
        <f>IFERROR(__xludf.DUMMYFUNCTION("""COMPUTED_VALUE"""),169.72)</f>
        <v>169.72</v>
      </c>
      <c r="E3425" s="1">
        <f>IFERROR(__xludf.DUMMYFUNCTION("""COMPUTED_VALUE"""),170.64)</f>
        <v>170.64</v>
      </c>
      <c r="F3425" s="1">
        <f>IFERROR(__xludf.DUMMYFUNCTION("""COMPUTED_VALUE"""),42588.0)</f>
        <v>42588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IFERROR(__xludf.DUMMYFUNCTION("""COMPUTED_VALUE"""),171.37)</f>
        <v>171.37</v>
      </c>
      <c r="C3426" s="1">
        <f>IFERROR(__xludf.DUMMYFUNCTION("""COMPUTED_VALUE"""),172.23)</f>
        <v>172.23</v>
      </c>
      <c r="D3426" s="1">
        <f>IFERROR(__xludf.DUMMYFUNCTION("""COMPUTED_VALUE"""),169.36)</f>
        <v>169.36</v>
      </c>
      <c r="E3426" s="1">
        <f>IFERROR(__xludf.DUMMYFUNCTION("""COMPUTED_VALUE"""),170.41)</f>
        <v>170.41</v>
      </c>
      <c r="F3426" s="1">
        <f>IFERROR(__xludf.DUMMYFUNCTION("""COMPUTED_VALUE"""),59584.0)</f>
        <v>59584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IFERROR(__xludf.DUMMYFUNCTION("""COMPUTED_VALUE"""),170.56)</f>
        <v>170.56</v>
      </c>
      <c r="C3427" s="1">
        <f>IFERROR(__xludf.DUMMYFUNCTION("""COMPUTED_VALUE"""),170.56)</f>
        <v>170.56</v>
      </c>
      <c r="D3427" s="1">
        <f>IFERROR(__xludf.DUMMYFUNCTION("""COMPUTED_VALUE"""),168.35)</f>
        <v>168.35</v>
      </c>
      <c r="E3427" s="1">
        <f>IFERROR(__xludf.DUMMYFUNCTION("""COMPUTED_VALUE"""),168.35)</f>
        <v>168.35</v>
      </c>
      <c r="F3427" s="1">
        <f>IFERROR(__xludf.DUMMYFUNCTION("""COMPUTED_VALUE"""),67155.0)</f>
        <v>67155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IFERROR(__xludf.DUMMYFUNCTION("""COMPUTED_VALUE"""),168.37)</f>
        <v>168.37</v>
      </c>
      <c r="C3428" s="1">
        <f>IFERROR(__xludf.DUMMYFUNCTION("""COMPUTED_VALUE"""),168.65)</f>
        <v>168.65</v>
      </c>
      <c r="D3428" s="1">
        <f>IFERROR(__xludf.DUMMYFUNCTION("""COMPUTED_VALUE"""),166.07)</f>
        <v>166.07</v>
      </c>
      <c r="E3428" s="1">
        <f>IFERROR(__xludf.DUMMYFUNCTION("""COMPUTED_VALUE"""),166.89)</f>
        <v>166.89</v>
      </c>
      <c r="F3428" s="1">
        <f>IFERROR(__xludf.DUMMYFUNCTION("""COMPUTED_VALUE"""),68072.0)</f>
        <v>68072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IFERROR(__xludf.DUMMYFUNCTION("""COMPUTED_VALUE"""),166.83)</f>
        <v>166.83</v>
      </c>
      <c r="C3429" s="1">
        <f>IFERROR(__xludf.DUMMYFUNCTION("""COMPUTED_VALUE"""),169.2)</f>
        <v>169.2</v>
      </c>
      <c r="D3429" s="1">
        <f>IFERROR(__xludf.DUMMYFUNCTION("""COMPUTED_VALUE"""),166.34)</f>
        <v>166.34</v>
      </c>
      <c r="E3429" s="1">
        <f>IFERROR(__xludf.DUMMYFUNCTION("""COMPUTED_VALUE"""),166.7)</f>
        <v>166.7</v>
      </c>
      <c r="F3429" s="1">
        <f>IFERROR(__xludf.DUMMYFUNCTION("""COMPUTED_VALUE"""),64040.0)</f>
        <v>64040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IFERROR(__xludf.DUMMYFUNCTION("""COMPUTED_VALUE"""),167.31)</f>
        <v>167.31</v>
      </c>
      <c r="C3430" s="1">
        <f>IFERROR(__xludf.DUMMYFUNCTION("""COMPUTED_VALUE"""),167.48)</f>
        <v>167.48</v>
      </c>
      <c r="D3430" s="1">
        <f>IFERROR(__xludf.DUMMYFUNCTION("""COMPUTED_VALUE"""),162.5)</f>
        <v>162.5</v>
      </c>
      <c r="E3430" s="1">
        <f>IFERROR(__xludf.DUMMYFUNCTION("""COMPUTED_VALUE"""),162.88)</f>
        <v>162.88</v>
      </c>
      <c r="F3430" s="1">
        <f>IFERROR(__xludf.DUMMYFUNCTION("""COMPUTED_VALUE"""),64400.0)</f>
        <v>64400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IFERROR(__xludf.DUMMYFUNCTION("""COMPUTED_VALUE"""),162.85)</f>
        <v>162.85</v>
      </c>
      <c r="C3431" s="1">
        <f>IFERROR(__xludf.DUMMYFUNCTION("""COMPUTED_VALUE"""),164.72)</f>
        <v>164.72</v>
      </c>
      <c r="D3431" s="1">
        <f>IFERROR(__xludf.DUMMYFUNCTION("""COMPUTED_VALUE"""),162.85)</f>
        <v>162.85</v>
      </c>
      <c r="E3431" s="1">
        <f>IFERROR(__xludf.DUMMYFUNCTION("""COMPUTED_VALUE"""),163.7)</f>
        <v>163.7</v>
      </c>
      <c r="F3431" s="1">
        <f>IFERROR(__xludf.DUMMYFUNCTION("""COMPUTED_VALUE"""),46424.0)</f>
        <v>46424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IFERROR(__xludf.DUMMYFUNCTION("""COMPUTED_VALUE"""),163.06)</f>
        <v>163.06</v>
      </c>
      <c r="C3432" s="1">
        <f>IFERROR(__xludf.DUMMYFUNCTION("""COMPUTED_VALUE"""),163.71)</f>
        <v>163.71</v>
      </c>
      <c r="D3432" s="1">
        <f>IFERROR(__xludf.DUMMYFUNCTION("""COMPUTED_VALUE"""),161.29)</f>
        <v>161.29</v>
      </c>
      <c r="E3432" s="1">
        <f>IFERROR(__xludf.DUMMYFUNCTION("""COMPUTED_VALUE"""),161.67)</f>
        <v>161.67</v>
      </c>
      <c r="F3432" s="1">
        <f>IFERROR(__xludf.DUMMYFUNCTION("""COMPUTED_VALUE"""),46516.0)</f>
        <v>46516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IFERROR(__xludf.DUMMYFUNCTION("""COMPUTED_VALUE"""),161.1)</f>
        <v>161.1</v>
      </c>
      <c r="C3433" s="1">
        <f>IFERROR(__xludf.DUMMYFUNCTION("""COMPUTED_VALUE"""),163.04)</f>
        <v>163.04</v>
      </c>
      <c r="D3433" s="1">
        <f>IFERROR(__xludf.DUMMYFUNCTION("""COMPUTED_VALUE"""),160.49)</f>
        <v>160.49</v>
      </c>
      <c r="E3433" s="1">
        <f>IFERROR(__xludf.DUMMYFUNCTION("""COMPUTED_VALUE"""),163.02)</f>
        <v>163.02</v>
      </c>
      <c r="F3433" s="1">
        <f>IFERROR(__xludf.DUMMYFUNCTION("""COMPUTED_VALUE"""),53617.0)</f>
        <v>53617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IFERROR(__xludf.DUMMYFUNCTION("""COMPUTED_VALUE"""),163.65)</f>
        <v>163.65</v>
      </c>
      <c r="C3434" s="1">
        <f>IFERROR(__xludf.DUMMYFUNCTION("""COMPUTED_VALUE"""),165.2)</f>
        <v>165.2</v>
      </c>
      <c r="D3434" s="1">
        <f>IFERROR(__xludf.DUMMYFUNCTION("""COMPUTED_VALUE"""),160.64)</f>
        <v>160.64</v>
      </c>
      <c r="E3434" s="1">
        <f>IFERROR(__xludf.DUMMYFUNCTION("""COMPUTED_VALUE"""),162.49)</f>
        <v>162.49</v>
      </c>
      <c r="F3434" s="1">
        <f>IFERROR(__xludf.DUMMYFUNCTION("""COMPUTED_VALUE"""),72469.0)</f>
        <v>72469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IFERROR(__xludf.DUMMYFUNCTION("""COMPUTED_VALUE"""),161.65)</f>
        <v>161.65</v>
      </c>
      <c r="C3435" s="1">
        <f>IFERROR(__xludf.DUMMYFUNCTION("""COMPUTED_VALUE"""),164.02)</f>
        <v>164.02</v>
      </c>
      <c r="D3435" s="1">
        <f>IFERROR(__xludf.DUMMYFUNCTION("""COMPUTED_VALUE"""),159.87)</f>
        <v>159.87</v>
      </c>
      <c r="E3435" s="1">
        <f>IFERROR(__xludf.DUMMYFUNCTION("""COMPUTED_VALUE"""),160.49)</f>
        <v>160.49</v>
      </c>
      <c r="F3435" s="1">
        <f>IFERROR(__xludf.DUMMYFUNCTION("""COMPUTED_VALUE"""),47794.0)</f>
        <v>47794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IFERROR(__xludf.DUMMYFUNCTION("""COMPUTED_VALUE"""),161.03)</f>
        <v>161.03</v>
      </c>
      <c r="C3436" s="1">
        <f>IFERROR(__xludf.DUMMYFUNCTION("""COMPUTED_VALUE"""),162.27)</f>
        <v>162.27</v>
      </c>
      <c r="D3436" s="1">
        <f>IFERROR(__xludf.DUMMYFUNCTION("""COMPUTED_VALUE"""),156.73)</f>
        <v>156.73</v>
      </c>
      <c r="E3436" s="1">
        <f>IFERROR(__xludf.DUMMYFUNCTION("""COMPUTED_VALUE"""),160.07)</f>
        <v>160.07</v>
      </c>
      <c r="F3436" s="1">
        <f>IFERROR(__xludf.DUMMYFUNCTION("""COMPUTED_VALUE"""),42369.0)</f>
        <v>42369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IFERROR(__xludf.DUMMYFUNCTION("""COMPUTED_VALUE"""),160.74)</f>
        <v>160.74</v>
      </c>
      <c r="C3437" s="1">
        <f>IFERROR(__xludf.DUMMYFUNCTION("""COMPUTED_VALUE"""),161.27)</f>
        <v>161.27</v>
      </c>
      <c r="D3437" s="1">
        <f>IFERROR(__xludf.DUMMYFUNCTION("""COMPUTED_VALUE"""),159.27)</f>
        <v>159.27</v>
      </c>
      <c r="E3437" s="1">
        <f>IFERROR(__xludf.DUMMYFUNCTION("""COMPUTED_VALUE"""),159.37)</f>
        <v>159.37</v>
      </c>
      <c r="F3437" s="1">
        <f>IFERROR(__xludf.DUMMYFUNCTION("""COMPUTED_VALUE"""),36582.0)</f>
        <v>36582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IFERROR(__xludf.DUMMYFUNCTION("""COMPUTED_VALUE"""),159.35)</f>
        <v>159.35</v>
      </c>
      <c r="C3438" s="1">
        <f>IFERROR(__xludf.DUMMYFUNCTION("""COMPUTED_VALUE"""),160.92)</f>
        <v>160.92</v>
      </c>
      <c r="D3438" s="1">
        <f>IFERROR(__xludf.DUMMYFUNCTION("""COMPUTED_VALUE"""),159.0)</f>
        <v>159</v>
      </c>
      <c r="E3438" s="1">
        <f>IFERROR(__xludf.DUMMYFUNCTION("""COMPUTED_VALUE"""),160.92)</f>
        <v>160.92</v>
      </c>
      <c r="F3438" s="1">
        <f>IFERROR(__xludf.DUMMYFUNCTION("""COMPUTED_VALUE"""),38066.0)</f>
        <v>38066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IFERROR(__xludf.DUMMYFUNCTION("""COMPUTED_VALUE"""),160.58)</f>
        <v>160.58</v>
      </c>
      <c r="C3439" s="1">
        <f>IFERROR(__xludf.DUMMYFUNCTION("""COMPUTED_VALUE"""),163.44)</f>
        <v>163.44</v>
      </c>
      <c r="D3439" s="1">
        <f>IFERROR(__xludf.DUMMYFUNCTION("""COMPUTED_VALUE"""),160.58)</f>
        <v>160.58</v>
      </c>
      <c r="E3439" s="1">
        <f>IFERROR(__xludf.DUMMYFUNCTION("""COMPUTED_VALUE"""),163.17)</f>
        <v>163.17</v>
      </c>
      <c r="F3439" s="1">
        <f>IFERROR(__xludf.DUMMYFUNCTION("""COMPUTED_VALUE"""),51904.0)</f>
        <v>51904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IFERROR(__xludf.DUMMYFUNCTION("""COMPUTED_VALUE"""),162.65)</f>
        <v>162.65</v>
      </c>
      <c r="C3440" s="1">
        <f>IFERROR(__xludf.DUMMYFUNCTION("""COMPUTED_VALUE"""),163.75)</f>
        <v>163.75</v>
      </c>
      <c r="D3440" s="1">
        <f>IFERROR(__xludf.DUMMYFUNCTION("""COMPUTED_VALUE"""),161.87)</f>
        <v>161.87</v>
      </c>
      <c r="E3440" s="1">
        <f>IFERROR(__xludf.DUMMYFUNCTION("""COMPUTED_VALUE"""),162.13)</f>
        <v>162.13</v>
      </c>
      <c r="F3440" s="1">
        <f>IFERROR(__xludf.DUMMYFUNCTION("""COMPUTED_VALUE"""),53320.0)</f>
        <v>53320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IFERROR(__xludf.DUMMYFUNCTION("""COMPUTED_VALUE"""),162.53)</f>
        <v>162.53</v>
      </c>
      <c r="C3441" s="1">
        <f>IFERROR(__xludf.DUMMYFUNCTION("""COMPUTED_VALUE"""),164.27)</f>
        <v>164.27</v>
      </c>
      <c r="D3441" s="1">
        <f>IFERROR(__xludf.DUMMYFUNCTION("""COMPUTED_VALUE"""),161.68)</f>
        <v>161.68</v>
      </c>
      <c r="E3441" s="1">
        <f>IFERROR(__xludf.DUMMYFUNCTION("""COMPUTED_VALUE"""),162.61)</f>
        <v>162.61</v>
      </c>
      <c r="F3441" s="1">
        <f>IFERROR(__xludf.DUMMYFUNCTION("""COMPUTED_VALUE"""),53578.0)</f>
        <v>53578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IFERROR(__xludf.DUMMYFUNCTION("""COMPUTED_VALUE"""),162.61)</f>
        <v>162.61</v>
      </c>
      <c r="C3442" s="1">
        <f>IFERROR(__xludf.DUMMYFUNCTION("""COMPUTED_VALUE"""),162.88)</f>
        <v>162.88</v>
      </c>
      <c r="D3442" s="1">
        <f>IFERROR(__xludf.DUMMYFUNCTION("""COMPUTED_VALUE"""),160.51)</f>
        <v>160.51</v>
      </c>
      <c r="E3442" s="1">
        <f>IFERROR(__xludf.DUMMYFUNCTION("""COMPUTED_VALUE"""),162.09)</f>
        <v>162.09</v>
      </c>
      <c r="F3442" s="1">
        <f>IFERROR(__xludf.DUMMYFUNCTION("""COMPUTED_VALUE"""),65470.0)</f>
        <v>65470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IFERROR(__xludf.DUMMYFUNCTION("""COMPUTED_VALUE"""),162.82)</f>
        <v>162.82</v>
      </c>
      <c r="C3443" s="1">
        <f>IFERROR(__xludf.DUMMYFUNCTION("""COMPUTED_VALUE"""),163.9)</f>
        <v>163.9</v>
      </c>
      <c r="D3443" s="1">
        <f>IFERROR(__xludf.DUMMYFUNCTION("""COMPUTED_VALUE"""),162.66)</f>
        <v>162.66</v>
      </c>
      <c r="E3443" s="1">
        <f>IFERROR(__xludf.DUMMYFUNCTION("""COMPUTED_VALUE"""),163.74)</f>
        <v>163.74</v>
      </c>
      <c r="F3443" s="1">
        <f>IFERROR(__xludf.DUMMYFUNCTION("""COMPUTED_VALUE"""),48897.0)</f>
        <v>48897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IFERROR(__xludf.DUMMYFUNCTION("""COMPUTED_VALUE"""),164.31)</f>
        <v>164.31</v>
      </c>
      <c r="C3444" s="1">
        <f>IFERROR(__xludf.DUMMYFUNCTION("""COMPUTED_VALUE"""),167.7)</f>
        <v>167.7</v>
      </c>
      <c r="D3444" s="1">
        <f>IFERROR(__xludf.DUMMYFUNCTION("""COMPUTED_VALUE"""),164.27)</f>
        <v>164.27</v>
      </c>
      <c r="E3444" s="1">
        <f>IFERROR(__xludf.DUMMYFUNCTION("""COMPUTED_VALUE"""),166.75)</f>
        <v>166.75</v>
      </c>
      <c r="F3444" s="1">
        <f>IFERROR(__xludf.DUMMYFUNCTION("""COMPUTED_VALUE"""),55247.0)</f>
        <v>55247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IFERROR(__xludf.DUMMYFUNCTION("""COMPUTED_VALUE"""),167.0)</f>
        <v>167</v>
      </c>
      <c r="C3445" s="1">
        <f>IFERROR(__xludf.DUMMYFUNCTION("""COMPUTED_VALUE"""),169.01)</f>
        <v>169.01</v>
      </c>
      <c r="D3445" s="1">
        <f>IFERROR(__xludf.DUMMYFUNCTION("""COMPUTED_VALUE"""),165.52)</f>
        <v>165.52</v>
      </c>
      <c r="E3445" s="1">
        <f>IFERROR(__xludf.DUMMYFUNCTION("""COMPUTED_VALUE"""),168.71)</f>
        <v>168.71</v>
      </c>
      <c r="F3445" s="1">
        <f>IFERROR(__xludf.DUMMYFUNCTION("""COMPUTED_VALUE"""),59888.0)</f>
        <v>59888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IFERROR(__xludf.DUMMYFUNCTION("""COMPUTED_VALUE"""),168.9)</f>
        <v>168.9</v>
      </c>
      <c r="C3446" s="1">
        <f>IFERROR(__xludf.DUMMYFUNCTION("""COMPUTED_VALUE"""),173.07)</f>
        <v>173.07</v>
      </c>
      <c r="D3446" s="1">
        <f>IFERROR(__xludf.DUMMYFUNCTION("""COMPUTED_VALUE"""),167.69)</f>
        <v>167.69</v>
      </c>
      <c r="E3446" s="1">
        <f>IFERROR(__xludf.DUMMYFUNCTION("""COMPUTED_VALUE"""),172.32)</f>
        <v>172.32</v>
      </c>
      <c r="F3446" s="1">
        <f>IFERROR(__xludf.DUMMYFUNCTION("""COMPUTED_VALUE"""),70773.0)</f>
        <v>70773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IFERROR(__xludf.DUMMYFUNCTION("""COMPUTED_VALUE"""),172.57)</f>
        <v>172.57</v>
      </c>
      <c r="C3447" s="1">
        <f>IFERROR(__xludf.DUMMYFUNCTION("""COMPUTED_VALUE"""),172.57)</f>
        <v>172.57</v>
      </c>
      <c r="D3447" s="1">
        <f>IFERROR(__xludf.DUMMYFUNCTION("""COMPUTED_VALUE"""),167.42)</f>
        <v>167.42</v>
      </c>
      <c r="E3447" s="1">
        <f>IFERROR(__xludf.DUMMYFUNCTION("""COMPUTED_VALUE"""),168.74)</f>
        <v>168.74</v>
      </c>
      <c r="F3447" s="1">
        <f>IFERROR(__xludf.DUMMYFUNCTION("""COMPUTED_VALUE"""),94531.0)</f>
        <v>94531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IFERROR(__xludf.DUMMYFUNCTION("""COMPUTED_VALUE"""),169.29)</f>
        <v>169.29</v>
      </c>
      <c r="C3448" s="1">
        <f>IFERROR(__xludf.DUMMYFUNCTION("""COMPUTED_VALUE"""),171.27)</f>
        <v>171.27</v>
      </c>
      <c r="D3448" s="1">
        <f>IFERROR(__xludf.DUMMYFUNCTION("""COMPUTED_VALUE"""),169.04)</f>
        <v>169.04</v>
      </c>
      <c r="E3448" s="1">
        <f>IFERROR(__xludf.DUMMYFUNCTION("""COMPUTED_VALUE"""),171.1)</f>
        <v>171.1</v>
      </c>
      <c r="F3448" s="1">
        <f>IFERROR(__xludf.DUMMYFUNCTION("""COMPUTED_VALUE"""),44049.0)</f>
        <v>44049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IFERROR(__xludf.DUMMYFUNCTION("""COMPUTED_VALUE"""),172.04)</f>
        <v>172.04</v>
      </c>
      <c r="C3449" s="1">
        <f>IFERROR(__xludf.DUMMYFUNCTION("""COMPUTED_VALUE"""),174.47)</f>
        <v>174.47</v>
      </c>
      <c r="D3449" s="1">
        <f>IFERROR(__xludf.DUMMYFUNCTION("""COMPUTED_VALUE"""),171.55)</f>
        <v>171.55</v>
      </c>
      <c r="E3449" s="1">
        <f>IFERROR(__xludf.DUMMYFUNCTION("""COMPUTED_VALUE"""),173.88)</f>
        <v>173.88</v>
      </c>
      <c r="F3449" s="1">
        <f>IFERROR(__xludf.DUMMYFUNCTION("""COMPUTED_VALUE"""),54561.0)</f>
        <v>54561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IFERROR(__xludf.DUMMYFUNCTION("""COMPUTED_VALUE"""),172.9)</f>
        <v>172.9</v>
      </c>
      <c r="C3450" s="1">
        <f>IFERROR(__xludf.DUMMYFUNCTION("""COMPUTED_VALUE"""),173.33)</f>
        <v>173.33</v>
      </c>
      <c r="D3450" s="1">
        <f>IFERROR(__xludf.DUMMYFUNCTION("""COMPUTED_VALUE"""),170.6)</f>
        <v>170.6</v>
      </c>
      <c r="E3450" s="1">
        <f>IFERROR(__xludf.DUMMYFUNCTION("""COMPUTED_VALUE"""),171.84)</f>
        <v>171.84</v>
      </c>
      <c r="F3450" s="1">
        <f>IFERROR(__xludf.DUMMYFUNCTION("""COMPUTED_VALUE"""),197175.0)</f>
        <v>197175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IFERROR(__xludf.DUMMYFUNCTION("""COMPUTED_VALUE"""),171.95)</f>
        <v>171.95</v>
      </c>
      <c r="C3451" s="1">
        <f>IFERROR(__xludf.DUMMYFUNCTION("""COMPUTED_VALUE"""),172.16)</f>
        <v>172.16</v>
      </c>
      <c r="D3451" s="1">
        <f>IFERROR(__xludf.DUMMYFUNCTION("""COMPUTED_VALUE"""),170.2)</f>
        <v>170.2</v>
      </c>
      <c r="E3451" s="1">
        <f>IFERROR(__xludf.DUMMYFUNCTION("""COMPUTED_VALUE"""),170.53)</f>
        <v>170.53</v>
      </c>
      <c r="F3451" s="1">
        <f>IFERROR(__xludf.DUMMYFUNCTION("""COMPUTED_VALUE"""),50657.0)</f>
        <v>50657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IFERROR(__xludf.DUMMYFUNCTION("""COMPUTED_VALUE"""),170.71)</f>
        <v>170.71</v>
      </c>
      <c r="C3452" s="1">
        <f>IFERROR(__xludf.DUMMYFUNCTION("""COMPUTED_VALUE"""),170.71)</f>
        <v>170.71</v>
      </c>
      <c r="D3452" s="1">
        <f>IFERROR(__xludf.DUMMYFUNCTION("""COMPUTED_VALUE"""),166.6)</f>
        <v>166.6</v>
      </c>
      <c r="E3452" s="1">
        <f>IFERROR(__xludf.DUMMYFUNCTION("""COMPUTED_VALUE"""),167.39)</f>
        <v>167.39</v>
      </c>
      <c r="F3452" s="1">
        <f>IFERROR(__xludf.DUMMYFUNCTION("""COMPUTED_VALUE"""),60793.0)</f>
        <v>60793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IFERROR(__xludf.DUMMYFUNCTION("""COMPUTED_VALUE"""),167.5)</f>
        <v>167.5</v>
      </c>
      <c r="C3453" s="1">
        <f>IFERROR(__xludf.DUMMYFUNCTION("""COMPUTED_VALUE"""),167.5)</f>
        <v>167.5</v>
      </c>
      <c r="D3453" s="1">
        <f>IFERROR(__xludf.DUMMYFUNCTION("""COMPUTED_VALUE"""),163.32)</f>
        <v>163.32</v>
      </c>
      <c r="E3453" s="1">
        <f>IFERROR(__xludf.DUMMYFUNCTION("""COMPUTED_VALUE"""),165.34)</f>
        <v>165.34</v>
      </c>
      <c r="F3453" s="1">
        <f>IFERROR(__xludf.DUMMYFUNCTION("""COMPUTED_VALUE"""),65008.0)</f>
        <v>65008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IFERROR(__xludf.DUMMYFUNCTION("""COMPUTED_VALUE"""),164.32)</f>
        <v>164.32</v>
      </c>
      <c r="C3454" s="1">
        <f>IFERROR(__xludf.DUMMYFUNCTION("""COMPUTED_VALUE"""),169.02)</f>
        <v>169.02</v>
      </c>
      <c r="D3454" s="1">
        <f>IFERROR(__xludf.DUMMYFUNCTION("""COMPUTED_VALUE"""),163.76)</f>
        <v>163.76</v>
      </c>
      <c r="E3454" s="1">
        <f>IFERROR(__xludf.DUMMYFUNCTION("""COMPUTED_VALUE"""),165.66)</f>
        <v>165.66</v>
      </c>
      <c r="F3454" s="1">
        <f>IFERROR(__xludf.DUMMYFUNCTION("""COMPUTED_VALUE"""),69888.0)</f>
        <v>69888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IFERROR(__xludf.DUMMYFUNCTION("""COMPUTED_VALUE"""),165.22)</f>
        <v>165.22</v>
      </c>
      <c r="C3455" s="1">
        <f>IFERROR(__xludf.DUMMYFUNCTION("""COMPUTED_VALUE"""),166.58)</f>
        <v>166.58</v>
      </c>
      <c r="D3455" s="1">
        <f>IFERROR(__xludf.DUMMYFUNCTION("""COMPUTED_VALUE"""),164.57)</f>
        <v>164.57</v>
      </c>
      <c r="E3455" s="1">
        <f>IFERROR(__xludf.DUMMYFUNCTION("""COMPUTED_VALUE"""),165.53)</f>
        <v>165.53</v>
      </c>
      <c r="F3455" s="1">
        <f>IFERROR(__xludf.DUMMYFUNCTION("""COMPUTED_VALUE"""),47569.0)</f>
        <v>47569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IFERROR(__xludf.DUMMYFUNCTION("""COMPUTED_VALUE"""),165.23)</f>
        <v>165.23</v>
      </c>
      <c r="C3456" s="1">
        <f>IFERROR(__xludf.DUMMYFUNCTION("""COMPUTED_VALUE"""),165.96)</f>
        <v>165.96</v>
      </c>
      <c r="D3456" s="1">
        <f>IFERROR(__xludf.DUMMYFUNCTION("""COMPUTED_VALUE"""),164.02)</f>
        <v>164.02</v>
      </c>
      <c r="E3456" s="1">
        <f>IFERROR(__xludf.DUMMYFUNCTION("""COMPUTED_VALUE"""),164.57)</f>
        <v>164.57</v>
      </c>
      <c r="F3456" s="1">
        <f>IFERROR(__xludf.DUMMYFUNCTION("""COMPUTED_VALUE"""),31705.0)</f>
        <v>31705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IFERROR(__xludf.DUMMYFUNCTION("""COMPUTED_VALUE"""),162.1)</f>
        <v>162.1</v>
      </c>
      <c r="C3457" s="1">
        <f>IFERROR(__xludf.DUMMYFUNCTION("""COMPUTED_VALUE"""),164.21)</f>
        <v>164.21</v>
      </c>
      <c r="D3457" s="1">
        <f>IFERROR(__xludf.DUMMYFUNCTION("""COMPUTED_VALUE"""),162.1)</f>
        <v>162.1</v>
      </c>
      <c r="E3457" s="1">
        <f>IFERROR(__xludf.DUMMYFUNCTION("""COMPUTED_VALUE"""),162.9)</f>
        <v>162.9</v>
      </c>
      <c r="F3457" s="1">
        <f>IFERROR(__xludf.DUMMYFUNCTION("""COMPUTED_VALUE"""),50303.0)</f>
        <v>50303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IFERROR(__xludf.DUMMYFUNCTION("""COMPUTED_VALUE"""),162.85)</f>
        <v>162.85</v>
      </c>
      <c r="C3458" s="1">
        <f>IFERROR(__xludf.DUMMYFUNCTION("""COMPUTED_VALUE"""),165.12)</f>
        <v>165.12</v>
      </c>
      <c r="D3458" s="1">
        <f>IFERROR(__xludf.DUMMYFUNCTION("""COMPUTED_VALUE"""),162.51)</f>
        <v>162.51</v>
      </c>
      <c r="E3458" s="1">
        <f>IFERROR(__xludf.DUMMYFUNCTION("""COMPUTED_VALUE"""),163.86)</f>
        <v>163.86</v>
      </c>
      <c r="F3458" s="1">
        <f>IFERROR(__xludf.DUMMYFUNCTION("""COMPUTED_VALUE"""),72852.0)</f>
        <v>72852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IFERROR(__xludf.DUMMYFUNCTION("""COMPUTED_VALUE"""),164.03)</f>
        <v>164.03</v>
      </c>
      <c r="C3459" s="1">
        <f>IFERROR(__xludf.DUMMYFUNCTION("""COMPUTED_VALUE"""),165.05)</f>
        <v>165.05</v>
      </c>
      <c r="D3459" s="1">
        <f>IFERROR(__xludf.DUMMYFUNCTION("""COMPUTED_VALUE"""),162.78)</f>
        <v>162.78</v>
      </c>
      <c r="E3459" s="1">
        <f>IFERROR(__xludf.DUMMYFUNCTION("""COMPUTED_VALUE"""),163.3)</f>
        <v>163.3</v>
      </c>
      <c r="F3459" s="1">
        <f>IFERROR(__xludf.DUMMYFUNCTION("""COMPUTED_VALUE"""),73850.0)</f>
        <v>73850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IFERROR(__xludf.DUMMYFUNCTION("""COMPUTED_VALUE"""),163.7)</f>
        <v>163.7</v>
      </c>
      <c r="C3460" s="1">
        <f>IFERROR(__xludf.DUMMYFUNCTION("""COMPUTED_VALUE"""),165.09)</f>
        <v>165.09</v>
      </c>
      <c r="D3460" s="1">
        <f>IFERROR(__xludf.DUMMYFUNCTION("""COMPUTED_VALUE"""),162.58)</f>
        <v>162.58</v>
      </c>
      <c r="E3460" s="1">
        <f>IFERROR(__xludf.DUMMYFUNCTION("""COMPUTED_VALUE"""),163.65)</f>
        <v>163.65</v>
      </c>
      <c r="F3460" s="1">
        <f>IFERROR(__xludf.DUMMYFUNCTION("""COMPUTED_VALUE"""),69187.0)</f>
        <v>69187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IFERROR(__xludf.DUMMYFUNCTION("""COMPUTED_VALUE"""),163.36)</f>
        <v>163.36</v>
      </c>
      <c r="C3461" s="1">
        <f>IFERROR(__xludf.DUMMYFUNCTION("""COMPUTED_VALUE"""),164.45)</f>
        <v>164.45</v>
      </c>
      <c r="D3461" s="1">
        <f>IFERROR(__xludf.DUMMYFUNCTION("""COMPUTED_VALUE"""),161.31)</f>
        <v>161.31</v>
      </c>
      <c r="E3461" s="1">
        <f>IFERROR(__xludf.DUMMYFUNCTION("""COMPUTED_VALUE"""),162.99)</f>
        <v>162.99</v>
      </c>
      <c r="F3461" s="1">
        <f>IFERROR(__xludf.DUMMYFUNCTION("""COMPUTED_VALUE"""),67714.0)</f>
        <v>67714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IFERROR(__xludf.DUMMYFUNCTION("""COMPUTED_VALUE"""),162.99)</f>
        <v>162.99</v>
      </c>
      <c r="C3462" s="1">
        <f>IFERROR(__xludf.DUMMYFUNCTION("""COMPUTED_VALUE"""),162.99)</f>
        <v>162.99</v>
      </c>
      <c r="D3462" s="1">
        <f>IFERROR(__xludf.DUMMYFUNCTION("""COMPUTED_VALUE"""),160.69)</f>
        <v>160.69</v>
      </c>
      <c r="E3462" s="1">
        <f>IFERROR(__xludf.DUMMYFUNCTION("""COMPUTED_VALUE"""),161.53)</f>
        <v>161.53</v>
      </c>
      <c r="F3462" s="1">
        <f>IFERROR(__xludf.DUMMYFUNCTION("""COMPUTED_VALUE"""),55201.0)</f>
        <v>55201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IFERROR(__xludf.DUMMYFUNCTION("""COMPUTED_VALUE"""),161.11)</f>
        <v>161.11</v>
      </c>
      <c r="C3463" s="1">
        <f>IFERROR(__xludf.DUMMYFUNCTION("""COMPUTED_VALUE"""),161.32)</f>
        <v>161.32</v>
      </c>
      <c r="D3463" s="1">
        <f>IFERROR(__xludf.DUMMYFUNCTION("""COMPUTED_VALUE"""),158.71)</f>
        <v>158.71</v>
      </c>
      <c r="E3463" s="1">
        <f>IFERROR(__xludf.DUMMYFUNCTION("""COMPUTED_VALUE"""),160.74)</f>
        <v>160.74</v>
      </c>
      <c r="F3463" s="1">
        <f>IFERROR(__xludf.DUMMYFUNCTION("""COMPUTED_VALUE"""),71240.0)</f>
        <v>71240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IFERROR(__xludf.DUMMYFUNCTION("""COMPUTED_VALUE"""),160.88)</f>
        <v>160.88</v>
      </c>
      <c r="C3464" s="1">
        <f>IFERROR(__xludf.DUMMYFUNCTION("""COMPUTED_VALUE"""),161.63)</f>
        <v>161.63</v>
      </c>
      <c r="D3464" s="1">
        <f>IFERROR(__xludf.DUMMYFUNCTION("""COMPUTED_VALUE"""),159.81)</f>
        <v>159.81</v>
      </c>
      <c r="E3464" s="1">
        <f>IFERROR(__xludf.DUMMYFUNCTION("""COMPUTED_VALUE"""),160.37)</f>
        <v>160.37</v>
      </c>
      <c r="F3464" s="1">
        <f>IFERROR(__xludf.DUMMYFUNCTION("""COMPUTED_VALUE"""),63949.0)</f>
        <v>63949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IFERROR(__xludf.DUMMYFUNCTION("""COMPUTED_VALUE"""),159.27)</f>
        <v>159.27</v>
      </c>
      <c r="C3465" s="1">
        <f>IFERROR(__xludf.DUMMYFUNCTION("""COMPUTED_VALUE"""),159.27)</f>
        <v>159.27</v>
      </c>
      <c r="D3465" s="1">
        <f>IFERROR(__xludf.DUMMYFUNCTION("""COMPUTED_VALUE"""),150.34)</f>
        <v>150.34</v>
      </c>
      <c r="E3465" s="1">
        <f>IFERROR(__xludf.DUMMYFUNCTION("""COMPUTED_VALUE"""),156.32)</f>
        <v>156.32</v>
      </c>
      <c r="F3465" s="1">
        <f>IFERROR(__xludf.DUMMYFUNCTION("""COMPUTED_VALUE"""),88323.0)</f>
        <v>88323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IFERROR(__xludf.DUMMYFUNCTION("""COMPUTED_VALUE"""),156.19)</f>
        <v>156.19</v>
      </c>
      <c r="C3466" s="1">
        <f>IFERROR(__xludf.DUMMYFUNCTION("""COMPUTED_VALUE"""),158.07)</f>
        <v>158.07</v>
      </c>
      <c r="D3466" s="1">
        <f>IFERROR(__xludf.DUMMYFUNCTION("""COMPUTED_VALUE"""),154.97)</f>
        <v>154.97</v>
      </c>
      <c r="E3466" s="1">
        <f>IFERROR(__xludf.DUMMYFUNCTION("""COMPUTED_VALUE"""),157.83)</f>
        <v>157.83</v>
      </c>
      <c r="F3466" s="1">
        <f>IFERROR(__xludf.DUMMYFUNCTION("""COMPUTED_VALUE"""),41630.0)</f>
        <v>41630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IFERROR(__xludf.DUMMYFUNCTION("""COMPUTED_VALUE"""),158.73)</f>
        <v>158.73</v>
      </c>
      <c r="C3467" s="1">
        <f>IFERROR(__xludf.DUMMYFUNCTION("""COMPUTED_VALUE"""),160.5)</f>
        <v>160.5</v>
      </c>
      <c r="D3467" s="1">
        <f>IFERROR(__xludf.DUMMYFUNCTION("""COMPUTED_VALUE"""),158.54)</f>
        <v>158.54</v>
      </c>
      <c r="E3467" s="1">
        <f>IFERROR(__xludf.DUMMYFUNCTION("""COMPUTED_VALUE"""),159.34)</f>
        <v>159.34</v>
      </c>
      <c r="F3467" s="1">
        <f>IFERROR(__xludf.DUMMYFUNCTION("""COMPUTED_VALUE"""),61969.0)</f>
        <v>61969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IFERROR(__xludf.DUMMYFUNCTION("""COMPUTED_VALUE"""),160.07)</f>
        <v>160.07</v>
      </c>
      <c r="C3468" s="1">
        <f>IFERROR(__xludf.DUMMYFUNCTION("""COMPUTED_VALUE"""),160.07)</f>
        <v>160.07</v>
      </c>
      <c r="D3468" s="1">
        <f>IFERROR(__xludf.DUMMYFUNCTION("""COMPUTED_VALUE"""),158.23)</f>
        <v>158.23</v>
      </c>
      <c r="E3468" s="1">
        <f>IFERROR(__xludf.DUMMYFUNCTION("""COMPUTED_VALUE"""),159.19)</f>
        <v>159.19</v>
      </c>
      <c r="F3468" s="1">
        <f>IFERROR(__xludf.DUMMYFUNCTION("""COMPUTED_VALUE"""),43071.0)</f>
        <v>43071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IFERROR(__xludf.DUMMYFUNCTION("""COMPUTED_VALUE"""),158.8)</f>
        <v>158.8</v>
      </c>
      <c r="C3469" s="1">
        <f>IFERROR(__xludf.DUMMYFUNCTION("""COMPUTED_VALUE"""),158.8)</f>
        <v>158.8</v>
      </c>
      <c r="D3469" s="1">
        <f>IFERROR(__xludf.DUMMYFUNCTION("""COMPUTED_VALUE"""),151.57)</f>
        <v>151.57</v>
      </c>
      <c r="E3469" s="1">
        <f>IFERROR(__xludf.DUMMYFUNCTION("""COMPUTED_VALUE"""),152.36)</f>
        <v>152.36</v>
      </c>
      <c r="F3469" s="1">
        <f>IFERROR(__xludf.DUMMYFUNCTION("""COMPUTED_VALUE"""),125624.0)</f>
        <v>125624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IFERROR(__xludf.DUMMYFUNCTION("""COMPUTED_VALUE"""),153.11)</f>
        <v>153.11</v>
      </c>
      <c r="C3470" s="1">
        <f>IFERROR(__xludf.DUMMYFUNCTION("""COMPUTED_VALUE"""),153.85)</f>
        <v>153.85</v>
      </c>
      <c r="D3470" s="1">
        <f>IFERROR(__xludf.DUMMYFUNCTION("""COMPUTED_VALUE"""),150.66)</f>
        <v>150.66</v>
      </c>
      <c r="E3470" s="1">
        <f>IFERROR(__xludf.DUMMYFUNCTION("""COMPUTED_VALUE"""),152.7)</f>
        <v>152.7</v>
      </c>
      <c r="F3470" s="1">
        <f>IFERROR(__xludf.DUMMYFUNCTION("""COMPUTED_VALUE"""),102185.0)</f>
        <v>102185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IFERROR(__xludf.DUMMYFUNCTION("""COMPUTED_VALUE"""),154.08)</f>
        <v>154.08</v>
      </c>
      <c r="C3471" s="1">
        <f>IFERROR(__xludf.DUMMYFUNCTION("""COMPUTED_VALUE"""),157.21)</f>
        <v>157.21</v>
      </c>
      <c r="D3471" s="1">
        <f>IFERROR(__xludf.DUMMYFUNCTION("""COMPUTED_VALUE"""),153.5)</f>
        <v>153.5</v>
      </c>
      <c r="E3471" s="1">
        <f>IFERROR(__xludf.DUMMYFUNCTION("""COMPUTED_VALUE"""),154.72)</f>
        <v>154.72</v>
      </c>
      <c r="F3471" s="1">
        <f>IFERROR(__xludf.DUMMYFUNCTION("""COMPUTED_VALUE"""),60926.0)</f>
        <v>60926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IFERROR(__xludf.DUMMYFUNCTION("""COMPUTED_VALUE"""),153.68)</f>
        <v>153.68</v>
      </c>
      <c r="C3472" s="1">
        <f>IFERROR(__xludf.DUMMYFUNCTION("""COMPUTED_VALUE"""),157.47)</f>
        <v>157.47</v>
      </c>
      <c r="D3472" s="1">
        <f>IFERROR(__xludf.DUMMYFUNCTION("""COMPUTED_VALUE"""),153.68)</f>
        <v>153.68</v>
      </c>
      <c r="E3472" s="1">
        <f>IFERROR(__xludf.DUMMYFUNCTION("""COMPUTED_VALUE"""),155.88)</f>
        <v>155.88</v>
      </c>
      <c r="F3472" s="1">
        <f>IFERROR(__xludf.DUMMYFUNCTION("""COMPUTED_VALUE"""),67805.0)</f>
        <v>67805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IFERROR(__xludf.DUMMYFUNCTION("""COMPUTED_VALUE"""),156.34)</f>
        <v>156.34</v>
      </c>
      <c r="C3473" s="1">
        <f>IFERROR(__xludf.DUMMYFUNCTION("""COMPUTED_VALUE"""),157.07)</f>
        <v>157.07</v>
      </c>
      <c r="D3473" s="1">
        <f>IFERROR(__xludf.DUMMYFUNCTION("""COMPUTED_VALUE"""),154.45)</f>
        <v>154.45</v>
      </c>
      <c r="E3473" s="1">
        <f>IFERROR(__xludf.DUMMYFUNCTION("""COMPUTED_VALUE"""),154.65)</f>
        <v>154.65</v>
      </c>
      <c r="F3473" s="1">
        <f>IFERROR(__xludf.DUMMYFUNCTION("""COMPUTED_VALUE"""),50230.0)</f>
        <v>50230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IFERROR(__xludf.DUMMYFUNCTION("""COMPUTED_VALUE"""),154.69)</f>
        <v>154.69</v>
      </c>
      <c r="C3474" s="1">
        <f>IFERROR(__xludf.DUMMYFUNCTION("""COMPUTED_VALUE"""),155.07)</f>
        <v>155.07</v>
      </c>
      <c r="D3474" s="1">
        <f>IFERROR(__xludf.DUMMYFUNCTION("""COMPUTED_VALUE"""),152.55)</f>
        <v>152.55</v>
      </c>
      <c r="E3474" s="1">
        <f>IFERROR(__xludf.DUMMYFUNCTION("""COMPUTED_VALUE"""),153.93)</f>
        <v>153.93</v>
      </c>
      <c r="F3474" s="1">
        <f>IFERROR(__xludf.DUMMYFUNCTION("""COMPUTED_VALUE"""),72215.0)</f>
        <v>72215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IFERROR(__xludf.DUMMYFUNCTION("""COMPUTED_VALUE"""),154.79)</f>
        <v>154.79</v>
      </c>
      <c r="C3475" s="1">
        <f>IFERROR(__xludf.DUMMYFUNCTION("""COMPUTED_VALUE"""),154.95)</f>
        <v>154.95</v>
      </c>
      <c r="D3475" s="1">
        <f>IFERROR(__xludf.DUMMYFUNCTION("""COMPUTED_VALUE"""),151.84)</f>
        <v>151.84</v>
      </c>
      <c r="E3475" s="1">
        <f>IFERROR(__xludf.DUMMYFUNCTION("""COMPUTED_VALUE"""),151.84)</f>
        <v>151.84</v>
      </c>
      <c r="F3475" s="1">
        <f>IFERROR(__xludf.DUMMYFUNCTION("""COMPUTED_VALUE"""),49656.0)</f>
        <v>49656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IFERROR(__xludf.DUMMYFUNCTION("""COMPUTED_VALUE"""),151.93)</f>
        <v>151.93</v>
      </c>
      <c r="C3476" s="1">
        <f>IFERROR(__xludf.DUMMYFUNCTION("""COMPUTED_VALUE"""),153.75)</f>
        <v>153.75</v>
      </c>
      <c r="D3476" s="1">
        <f>IFERROR(__xludf.DUMMYFUNCTION("""COMPUTED_VALUE"""),149.87)</f>
        <v>149.87</v>
      </c>
      <c r="E3476" s="1">
        <f>IFERROR(__xludf.DUMMYFUNCTION("""COMPUTED_VALUE"""),150.84)</f>
        <v>150.84</v>
      </c>
      <c r="F3476" s="1">
        <f>IFERROR(__xludf.DUMMYFUNCTION("""COMPUTED_VALUE"""),50184.0)</f>
        <v>50184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IFERROR(__xludf.DUMMYFUNCTION("""COMPUTED_VALUE"""),151.38)</f>
        <v>151.38</v>
      </c>
      <c r="C3477" s="1">
        <f>IFERROR(__xludf.DUMMYFUNCTION("""COMPUTED_VALUE"""),153.51)</f>
        <v>153.51</v>
      </c>
      <c r="D3477" s="1">
        <f>IFERROR(__xludf.DUMMYFUNCTION("""COMPUTED_VALUE"""),151.22)</f>
        <v>151.22</v>
      </c>
      <c r="E3477" s="1">
        <f>IFERROR(__xludf.DUMMYFUNCTION("""COMPUTED_VALUE"""),152.84)</f>
        <v>152.84</v>
      </c>
      <c r="F3477" s="1">
        <f>IFERROR(__xludf.DUMMYFUNCTION("""COMPUTED_VALUE"""),38720.0)</f>
        <v>38720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IFERROR(__xludf.DUMMYFUNCTION("""COMPUTED_VALUE"""),152.83)</f>
        <v>152.83</v>
      </c>
      <c r="C3478" s="1">
        <f>IFERROR(__xludf.DUMMYFUNCTION("""COMPUTED_VALUE"""),155.86)</f>
        <v>155.86</v>
      </c>
      <c r="D3478" s="1">
        <f>IFERROR(__xludf.DUMMYFUNCTION("""COMPUTED_VALUE"""),151.67)</f>
        <v>151.67</v>
      </c>
      <c r="E3478" s="1">
        <f>IFERROR(__xludf.DUMMYFUNCTION("""COMPUTED_VALUE"""),155.18)</f>
        <v>155.18</v>
      </c>
      <c r="F3478" s="1">
        <f>IFERROR(__xludf.DUMMYFUNCTION("""COMPUTED_VALUE"""),73160.0)</f>
        <v>73160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IFERROR(__xludf.DUMMYFUNCTION("""COMPUTED_VALUE"""),156.36)</f>
        <v>156.36</v>
      </c>
      <c r="C3479" s="1">
        <f>IFERROR(__xludf.DUMMYFUNCTION("""COMPUTED_VALUE"""),157.23)</f>
        <v>157.23</v>
      </c>
      <c r="D3479" s="1">
        <f>IFERROR(__xludf.DUMMYFUNCTION("""COMPUTED_VALUE"""),153.71)</f>
        <v>153.71</v>
      </c>
      <c r="E3479" s="1">
        <f>IFERROR(__xludf.DUMMYFUNCTION("""COMPUTED_VALUE"""),154.2)</f>
        <v>154.2</v>
      </c>
      <c r="F3479" s="1">
        <f>IFERROR(__xludf.DUMMYFUNCTION("""COMPUTED_VALUE"""),55003.0)</f>
        <v>55003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IFERROR(__xludf.DUMMYFUNCTION("""COMPUTED_VALUE"""),153.98)</f>
        <v>153.98</v>
      </c>
      <c r="C3480" s="1">
        <f>IFERROR(__xludf.DUMMYFUNCTION("""COMPUTED_VALUE"""),155.3)</f>
        <v>155.3</v>
      </c>
      <c r="D3480" s="1">
        <f>IFERROR(__xludf.DUMMYFUNCTION("""COMPUTED_VALUE"""),152.09)</f>
        <v>152.09</v>
      </c>
      <c r="E3480" s="1">
        <f>IFERROR(__xludf.DUMMYFUNCTION("""COMPUTED_VALUE"""),152.35)</f>
        <v>152.35</v>
      </c>
      <c r="F3480" s="1">
        <f>IFERROR(__xludf.DUMMYFUNCTION("""COMPUTED_VALUE"""),47205.0)</f>
        <v>47205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IFERROR(__xludf.DUMMYFUNCTION("""COMPUTED_VALUE"""),153.73)</f>
        <v>153.73</v>
      </c>
      <c r="C3481" s="1">
        <f>IFERROR(__xludf.DUMMYFUNCTION("""COMPUTED_VALUE"""),155.59)</f>
        <v>155.59</v>
      </c>
      <c r="D3481" s="1">
        <f>IFERROR(__xludf.DUMMYFUNCTION("""COMPUTED_VALUE"""),153.15)</f>
        <v>153.15</v>
      </c>
      <c r="E3481" s="1">
        <f>IFERROR(__xludf.DUMMYFUNCTION("""COMPUTED_VALUE"""),155.16)</f>
        <v>155.16</v>
      </c>
      <c r="F3481" s="1">
        <f>IFERROR(__xludf.DUMMYFUNCTION("""COMPUTED_VALUE"""),50012.0)</f>
        <v>50012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IFERROR(__xludf.DUMMYFUNCTION("""COMPUTED_VALUE"""),155.27)</f>
        <v>155.27</v>
      </c>
      <c r="C3482" s="1">
        <f>IFERROR(__xludf.DUMMYFUNCTION("""COMPUTED_VALUE"""),157.59)</f>
        <v>157.59</v>
      </c>
      <c r="D3482" s="1">
        <f>IFERROR(__xludf.DUMMYFUNCTION("""COMPUTED_VALUE"""),154.02)</f>
        <v>154.02</v>
      </c>
      <c r="E3482" s="1">
        <f>IFERROR(__xludf.DUMMYFUNCTION("""COMPUTED_VALUE"""),156.61)</f>
        <v>156.61</v>
      </c>
      <c r="F3482" s="1">
        <f>IFERROR(__xludf.DUMMYFUNCTION("""COMPUTED_VALUE"""),63095.0)</f>
        <v>63095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IFERROR(__xludf.DUMMYFUNCTION("""COMPUTED_VALUE"""),156.11)</f>
        <v>156.11</v>
      </c>
      <c r="C3483" s="1">
        <f>IFERROR(__xludf.DUMMYFUNCTION("""COMPUTED_VALUE"""),159.79)</f>
        <v>159.79</v>
      </c>
      <c r="D3483" s="1">
        <f>IFERROR(__xludf.DUMMYFUNCTION("""COMPUTED_VALUE"""),156.11)</f>
        <v>156.11</v>
      </c>
      <c r="E3483" s="1">
        <f>IFERROR(__xludf.DUMMYFUNCTION("""COMPUTED_VALUE"""),158.86)</f>
        <v>158.86</v>
      </c>
      <c r="F3483" s="1">
        <f>IFERROR(__xludf.DUMMYFUNCTION("""COMPUTED_VALUE"""),47721.0)</f>
        <v>47721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IFERROR(__xludf.DUMMYFUNCTION("""COMPUTED_VALUE"""),159.23)</f>
        <v>159.23</v>
      </c>
      <c r="C3484" s="1">
        <f>IFERROR(__xludf.DUMMYFUNCTION("""COMPUTED_VALUE"""),164.78)</f>
        <v>164.78</v>
      </c>
      <c r="D3484" s="1">
        <f>IFERROR(__xludf.DUMMYFUNCTION("""COMPUTED_VALUE"""),157.34)</f>
        <v>157.34</v>
      </c>
      <c r="E3484" s="1">
        <f>IFERROR(__xludf.DUMMYFUNCTION("""COMPUTED_VALUE"""),158.49)</f>
        <v>158.49</v>
      </c>
      <c r="F3484" s="1">
        <f>IFERROR(__xludf.DUMMYFUNCTION("""COMPUTED_VALUE"""),60304.0)</f>
        <v>60304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IFERROR(__xludf.DUMMYFUNCTION("""COMPUTED_VALUE"""),160.62)</f>
        <v>160.62</v>
      </c>
      <c r="C3485" s="1">
        <f>IFERROR(__xludf.DUMMYFUNCTION("""COMPUTED_VALUE"""),160.62)</f>
        <v>160.62</v>
      </c>
      <c r="D3485" s="1">
        <f>IFERROR(__xludf.DUMMYFUNCTION("""COMPUTED_VALUE"""),157.88)</f>
        <v>157.88</v>
      </c>
      <c r="E3485" s="1">
        <f>IFERROR(__xludf.DUMMYFUNCTION("""COMPUTED_VALUE"""),159.54)</f>
        <v>159.54</v>
      </c>
      <c r="F3485" s="1">
        <f>IFERROR(__xludf.DUMMYFUNCTION("""COMPUTED_VALUE"""),59404.0)</f>
        <v>59404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IFERROR(__xludf.DUMMYFUNCTION("""COMPUTED_VALUE"""),159.28)</f>
        <v>159.28</v>
      </c>
      <c r="C3486" s="1">
        <f>IFERROR(__xludf.DUMMYFUNCTION("""COMPUTED_VALUE"""),160.59)</f>
        <v>160.59</v>
      </c>
      <c r="D3486" s="1">
        <f>IFERROR(__xludf.DUMMYFUNCTION("""COMPUTED_VALUE"""),158.34)</f>
        <v>158.34</v>
      </c>
      <c r="E3486" s="1">
        <f>IFERROR(__xludf.DUMMYFUNCTION("""COMPUTED_VALUE"""),160.22)</f>
        <v>160.22</v>
      </c>
      <c r="F3486" s="1">
        <f>IFERROR(__xludf.DUMMYFUNCTION("""COMPUTED_VALUE"""),55237.0)</f>
        <v>55237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IFERROR(__xludf.DUMMYFUNCTION("""COMPUTED_VALUE"""),159.7)</f>
        <v>159.7</v>
      </c>
      <c r="C3487" s="1">
        <f>IFERROR(__xludf.DUMMYFUNCTION("""COMPUTED_VALUE"""),162.03)</f>
        <v>162.03</v>
      </c>
      <c r="D3487" s="1">
        <f>IFERROR(__xludf.DUMMYFUNCTION("""COMPUTED_VALUE"""),159.46)</f>
        <v>159.46</v>
      </c>
      <c r="E3487" s="1">
        <f>IFERROR(__xludf.DUMMYFUNCTION("""COMPUTED_VALUE"""),160.73)</f>
        <v>160.73</v>
      </c>
      <c r="F3487" s="1">
        <f>IFERROR(__xludf.DUMMYFUNCTION("""COMPUTED_VALUE"""),46467.0)</f>
        <v>46467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IFERROR(__xludf.DUMMYFUNCTION("""COMPUTED_VALUE"""),160.05)</f>
        <v>160.05</v>
      </c>
      <c r="C3488" s="1">
        <f>IFERROR(__xludf.DUMMYFUNCTION("""COMPUTED_VALUE"""),161.8)</f>
        <v>161.8</v>
      </c>
      <c r="D3488" s="1">
        <f>IFERROR(__xludf.DUMMYFUNCTION("""COMPUTED_VALUE"""),158.07)</f>
        <v>158.07</v>
      </c>
      <c r="E3488" s="1">
        <f>IFERROR(__xludf.DUMMYFUNCTION("""COMPUTED_VALUE"""),158.79)</f>
        <v>158.79</v>
      </c>
      <c r="F3488" s="1">
        <f>IFERROR(__xludf.DUMMYFUNCTION("""COMPUTED_VALUE"""),48926.0)</f>
        <v>48926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IFERROR(__xludf.DUMMYFUNCTION("""COMPUTED_VALUE"""),158.99)</f>
        <v>158.99</v>
      </c>
      <c r="C3489" s="1">
        <f>IFERROR(__xludf.DUMMYFUNCTION("""COMPUTED_VALUE"""),160.21)</f>
        <v>160.21</v>
      </c>
      <c r="D3489" s="1">
        <f>IFERROR(__xludf.DUMMYFUNCTION("""COMPUTED_VALUE"""),158.01)</f>
        <v>158.01</v>
      </c>
      <c r="E3489" s="1">
        <f>IFERROR(__xludf.DUMMYFUNCTION("""COMPUTED_VALUE"""),160.03)</f>
        <v>160.03</v>
      </c>
      <c r="F3489" s="1">
        <f>IFERROR(__xludf.DUMMYFUNCTION("""COMPUTED_VALUE"""),60600.0)</f>
        <v>60600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IFERROR(__xludf.DUMMYFUNCTION("""COMPUTED_VALUE"""),160.68)</f>
        <v>160.68</v>
      </c>
      <c r="C3490" s="1">
        <f>IFERROR(__xludf.DUMMYFUNCTION("""COMPUTED_VALUE"""),161.46)</f>
        <v>161.46</v>
      </c>
      <c r="D3490" s="1">
        <f>IFERROR(__xludf.DUMMYFUNCTION("""COMPUTED_VALUE"""),159.56)</f>
        <v>159.56</v>
      </c>
      <c r="E3490" s="1">
        <f>IFERROR(__xludf.DUMMYFUNCTION("""COMPUTED_VALUE"""),161.07)</f>
        <v>161.07</v>
      </c>
      <c r="F3490" s="1">
        <f>IFERROR(__xludf.DUMMYFUNCTION("""COMPUTED_VALUE"""),39200.0)</f>
        <v>39200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IFERROR(__xludf.DUMMYFUNCTION("""COMPUTED_VALUE"""),160.76)</f>
        <v>160.76</v>
      </c>
      <c r="C3491" s="1">
        <f>IFERROR(__xludf.DUMMYFUNCTION("""COMPUTED_VALUE"""),163.34)</f>
        <v>163.34</v>
      </c>
      <c r="D3491" s="1">
        <f>IFERROR(__xludf.DUMMYFUNCTION("""COMPUTED_VALUE"""),160.36)</f>
        <v>160.36</v>
      </c>
      <c r="E3491" s="1">
        <f>IFERROR(__xludf.DUMMYFUNCTION("""COMPUTED_VALUE"""),160.5)</f>
        <v>160.5</v>
      </c>
      <c r="F3491" s="1">
        <f>IFERROR(__xludf.DUMMYFUNCTION("""COMPUTED_VALUE"""),55140.0)</f>
        <v>55140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IFERROR(__xludf.DUMMYFUNCTION("""COMPUTED_VALUE"""),161.77)</f>
        <v>161.77</v>
      </c>
      <c r="C3492" s="1">
        <f>IFERROR(__xludf.DUMMYFUNCTION("""COMPUTED_VALUE"""),164.41)</f>
        <v>164.41</v>
      </c>
      <c r="D3492" s="1">
        <f>IFERROR(__xludf.DUMMYFUNCTION("""COMPUTED_VALUE"""),160.5)</f>
        <v>160.5</v>
      </c>
      <c r="E3492" s="1">
        <f>IFERROR(__xludf.DUMMYFUNCTION("""COMPUTED_VALUE"""),163.57)</f>
        <v>163.57</v>
      </c>
      <c r="F3492" s="1">
        <f>IFERROR(__xludf.DUMMYFUNCTION("""COMPUTED_VALUE"""),114422.0)</f>
        <v>114422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IFERROR(__xludf.DUMMYFUNCTION("""COMPUTED_VALUE"""),163.59)</f>
        <v>163.59</v>
      </c>
      <c r="C3493" s="1">
        <f>IFERROR(__xludf.DUMMYFUNCTION("""COMPUTED_VALUE"""),166.25)</f>
        <v>166.25</v>
      </c>
      <c r="D3493" s="1">
        <f>IFERROR(__xludf.DUMMYFUNCTION("""COMPUTED_VALUE"""),159.79)</f>
        <v>159.79</v>
      </c>
      <c r="E3493" s="1">
        <f>IFERROR(__xludf.DUMMYFUNCTION("""COMPUTED_VALUE"""),160.86)</f>
        <v>160.86</v>
      </c>
      <c r="F3493" s="1">
        <f>IFERROR(__xludf.DUMMYFUNCTION("""COMPUTED_VALUE"""),73854.0)</f>
        <v>73854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IFERROR(__xludf.DUMMYFUNCTION("""COMPUTED_VALUE"""),172.0)</f>
        <v>172</v>
      </c>
      <c r="C3494" s="1">
        <f>IFERROR(__xludf.DUMMYFUNCTION("""COMPUTED_VALUE"""),176.38)</f>
        <v>176.38</v>
      </c>
      <c r="D3494" s="1">
        <f>IFERROR(__xludf.DUMMYFUNCTION("""COMPUTED_VALUE"""),161.4)</f>
        <v>161.4</v>
      </c>
      <c r="E3494" s="1">
        <f>IFERROR(__xludf.DUMMYFUNCTION("""COMPUTED_VALUE"""),168.39)</f>
        <v>168.39</v>
      </c>
      <c r="F3494" s="1">
        <f>IFERROR(__xludf.DUMMYFUNCTION("""COMPUTED_VALUE"""),182733.0)</f>
        <v>182733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IFERROR(__xludf.DUMMYFUNCTION("""COMPUTED_VALUE"""),169.86)</f>
        <v>169.86</v>
      </c>
      <c r="C3495" s="1">
        <f>IFERROR(__xludf.DUMMYFUNCTION("""COMPUTED_VALUE"""),170.79)</f>
        <v>170.79</v>
      </c>
      <c r="D3495" s="1">
        <f>IFERROR(__xludf.DUMMYFUNCTION("""COMPUTED_VALUE"""),164.22)</f>
        <v>164.22</v>
      </c>
      <c r="E3495" s="1">
        <f>IFERROR(__xludf.DUMMYFUNCTION("""COMPUTED_VALUE"""),166.53)</f>
        <v>166.53</v>
      </c>
      <c r="F3495" s="1">
        <f>IFERROR(__xludf.DUMMYFUNCTION("""COMPUTED_VALUE"""),104083.0)</f>
        <v>104083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IFERROR(__xludf.DUMMYFUNCTION("""COMPUTED_VALUE"""),167.59)</f>
        <v>167.59</v>
      </c>
      <c r="C3496" s="1">
        <f>IFERROR(__xludf.DUMMYFUNCTION("""COMPUTED_VALUE"""),170.19)</f>
        <v>170.19</v>
      </c>
      <c r="D3496" s="1">
        <f>IFERROR(__xludf.DUMMYFUNCTION("""COMPUTED_VALUE"""),166.47)</f>
        <v>166.47</v>
      </c>
      <c r="E3496" s="1">
        <f>IFERROR(__xludf.DUMMYFUNCTION("""COMPUTED_VALUE"""),169.57)</f>
        <v>169.57</v>
      </c>
      <c r="F3496" s="1">
        <f>IFERROR(__xludf.DUMMYFUNCTION("""COMPUTED_VALUE"""),55077.0)</f>
        <v>55077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IFERROR(__xludf.DUMMYFUNCTION("""COMPUTED_VALUE"""),168.38)</f>
        <v>168.38</v>
      </c>
      <c r="C3497" s="1">
        <f>IFERROR(__xludf.DUMMYFUNCTION("""COMPUTED_VALUE"""),168.38)</f>
        <v>168.38</v>
      </c>
      <c r="D3497" s="1">
        <f>IFERROR(__xludf.DUMMYFUNCTION("""COMPUTED_VALUE"""),165.77)</f>
        <v>165.77</v>
      </c>
      <c r="E3497" s="1">
        <f>IFERROR(__xludf.DUMMYFUNCTION("""COMPUTED_VALUE"""),166.29)</f>
        <v>166.29</v>
      </c>
      <c r="F3497" s="1">
        <f>IFERROR(__xludf.DUMMYFUNCTION("""COMPUTED_VALUE"""),39872.0)</f>
        <v>39872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IFERROR(__xludf.DUMMYFUNCTION("""COMPUTED_VALUE"""),167.67)</f>
        <v>167.67</v>
      </c>
      <c r="C3498" s="1">
        <f>IFERROR(__xludf.DUMMYFUNCTION("""COMPUTED_VALUE"""),168.64)</f>
        <v>168.64</v>
      </c>
      <c r="D3498" s="1">
        <f>IFERROR(__xludf.DUMMYFUNCTION("""COMPUTED_VALUE"""),166.3)</f>
        <v>166.3</v>
      </c>
      <c r="E3498" s="1">
        <f>IFERROR(__xludf.DUMMYFUNCTION("""COMPUTED_VALUE"""),167.98)</f>
        <v>167.98</v>
      </c>
      <c r="F3498" s="1">
        <f>IFERROR(__xludf.DUMMYFUNCTION("""COMPUTED_VALUE"""),74780.0)</f>
        <v>74780</v>
      </c>
    </row>
    <row r="3499">
      <c r="A3499" s="2">
        <f>IFERROR(__xludf.DUMMYFUNCTION("""COMPUTED_VALUE"""),45254.54513888889)</f>
        <v>45254.54514</v>
      </c>
      <c r="B3499" s="1">
        <f>IFERROR(__xludf.DUMMYFUNCTION("""COMPUTED_VALUE"""),168.84)</f>
        <v>168.84</v>
      </c>
      <c r="C3499" s="1">
        <f>IFERROR(__xludf.DUMMYFUNCTION("""COMPUTED_VALUE"""),169.77)</f>
        <v>169.77</v>
      </c>
      <c r="D3499" s="1">
        <f>IFERROR(__xludf.DUMMYFUNCTION("""COMPUTED_VALUE"""),167.0)</f>
        <v>167</v>
      </c>
      <c r="E3499" s="1">
        <f>IFERROR(__xludf.DUMMYFUNCTION("""COMPUTED_VALUE"""),168.32)</f>
        <v>168.32</v>
      </c>
      <c r="F3499" s="1">
        <f>IFERROR(__xludf.DUMMYFUNCTION("""COMPUTED_VALUE"""),25902.0)</f>
        <v>25902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IFERROR(__xludf.DUMMYFUNCTION("""COMPUTED_VALUE"""),167.29)</f>
        <v>167.29</v>
      </c>
      <c r="C3500" s="1">
        <f>IFERROR(__xludf.DUMMYFUNCTION("""COMPUTED_VALUE"""),168.1)</f>
        <v>168.1</v>
      </c>
      <c r="D3500" s="1">
        <f>IFERROR(__xludf.DUMMYFUNCTION("""COMPUTED_VALUE"""),165.58)</f>
        <v>165.58</v>
      </c>
      <c r="E3500" s="1">
        <f>IFERROR(__xludf.DUMMYFUNCTION("""COMPUTED_VALUE"""),166.52)</f>
        <v>166.52</v>
      </c>
      <c r="F3500" s="1">
        <f>IFERROR(__xludf.DUMMYFUNCTION("""COMPUTED_VALUE"""),79042.0)</f>
        <v>79042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IFERROR(__xludf.DUMMYFUNCTION("""COMPUTED_VALUE"""),162.68)</f>
        <v>162.68</v>
      </c>
      <c r="C3501" s="1">
        <f>IFERROR(__xludf.DUMMYFUNCTION("""COMPUTED_VALUE"""),166.88)</f>
        <v>166.88</v>
      </c>
      <c r="D3501" s="1">
        <f>IFERROR(__xludf.DUMMYFUNCTION("""COMPUTED_VALUE"""),158.64)</f>
        <v>158.64</v>
      </c>
      <c r="E3501" s="1">
        <f>IFERROR(__xludf.DUMMYFUNCTION("""COMPUTED_VALUE"""),163.81)</f>
        <v>163.81</v>
      </c>
      <c r="F3501" s="1">
        <f>IFERROR(__xludf.DUMMYFUNCTION("""COMPUTED_VALUE"""),46825.0)</f>
        <v>46825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IFERROR(__xludf.DUMMYFUNCTION("""COMPUTED_VALUE"""),164.61)</f>
        <v>164.61</v>
      </c>
      <c r="C3502" s="1">
        <f>IFERROR(__xludf.DUMMYFUNCTION("""COMPUTED_VALUE"""),165.96)</f>
        <v>165.96</v>
      </c>
      <c r="D3502" s="1">
        <f>IFERROR(__xludf.DUMMYFUNCTION("""COMPUTED_VALUE"""),161.9)</f>
        <v>161.9</v>
      </c>
      <c r="E3502" s="1">
        <f>IFERROR(__xludf.DUMMYFUNCTION("""COMPUTED_VALUE"""),162.15)</f>
        <v>162.15</v>
      </c>
      <c r="F3502" s="1">
        <f>IFERROR(__xludf.DUMMYFUNCTION("""COMPUTED_VALUE"""),79109.0)</f>
        <v>79109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IFERROR(__xludf.DUMMYFUNCTION("""COMPUTED_VALUE"""),163.4)</f>
        <v>163.4</v>
      </c>
      <c r="C3503" s="1">
        <f>IFERROR(__xludf.DUMMYFUNCTION("""COMPUTED_VALUE"""),165.78)</f>
        <v>165.78</v>
      </c>
      <c r="D3503" s="1">
        <f>IFERROR(__xludf.DUMMYFUNCTION("""COMPUTED_VALUE"""),161.32)</f>
        <v>161.32</v>
      </c>
      <c r="E3503" s="1">
        <f>IFERROR(__xludf.DUMMYFUNCTION("""COMPUTED_VALUE"""),164.55)</f>
        <v>164.55</v>
      </c>
      <c r="F3503" s="1">
        <f>IFERROR(__xludf.DUMMYFUNCTION("""COMPUTED_VALUE"""),89610.0)</f>
        <v>89610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IFERROR(__xludf.DUMMYFUNCTION("""COMPUTED_VALUE"""),164.46)</f>
        <v>164.46</v>
      </c>
      <c r="C3504" s="1">
        <f>IFERROR(__xludf.DUMMYFUNCTION("""COMPUTED_VALUE"""),167.87)</f>
        <v>167.87</v>
      </c>
      <c r="D3504" s="1">
        <f>IFERROR(__xludf.DUMMYFUNCTION("""COMPUTED_VALUE"""),163.52)</f>
        <v>163.52</v>
      </c>
      <c r="E3504" s="1">
        <f>IFERROR(__xludf.DUMMYFUNCTION("""COMPUTED_VALUE"""),167.73)</f>
        <v>167.73</v>
      </c>
      <c r="F3504" s="1">
        <f>IFERROR(__xludf.DUMMYFUNCTION("""COMPUTED_VALUE"""),70512.0)</f>
        <v>70512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IFERROR(__xludf.DUMMYFUNCTION("""COMPUTED_VALUE"""),166.72)</f>
        <v>166.72</v>
      </c>
      <c r="C3505" s="1">
        <f>IFERROR(__xludf.DUMMYFUNCTION("""COMPUTED_VALUE"""),172.5)</f>
        <v>172.5</v>
      </c>
      <c r="D3505" s="1">
        <f>IFERROR(__xludf.DUMMYFUNCTION("""COMPUTED_VALUE"""),166.72)</f>
        <v>166.72</v>
      </c>
      <c r="E3505" s="1">
        <f>IFERROR(__xludf.DUMMYFUNCTION("""COMPUTED_VALUE"""),170.42)</f>
        <v>170.42</v>
      </c>
      <c r="F3505" s="1">
        <f>IFERROR(__xludf.DUMMYFUNCTION("""COMPUTED_VALUE"""),68780.0)</f>
        <v>68780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IFERROR(__xludf.DUMMYFUNCTION("""COMPUTED_VALUE"""),169.69)</f>
        <v>169.69</v>
      </c>
      <c r="C3506" s="1">
        <f>IFERROR(__xludf.DUMMYFUNCTION("""COMPUTED_VALUE"""),171.59)</f>
        <v>171.59</v>
      </c>
      <c r="D3506" s="1">
        <f>IFERROR(__xludf.DUMMYFUNCTION("""COMPUTED_VALUE"""),168.34)</f>
        <v>168.34</v>
      </c>
      <c r="E3506" s="1">
        <f>IFERROR(__xludf.DUMMYFUNCTION("""COMPUTED_VALUE"""),170.59)</f>
        <v>170.59</v>
      </c>
      <c r="F3506" s="1">
        <f>IFERROR(__xludf.DUMMYFUNCTION("""COMPUTED_VALUE"""),56795.0)</f>
        <v>56795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IFERROR(__xludf.DUMMYFUNCTION("""COMPUTED_VALUE"""),171.77)</f>
        <v>171.77</v>
      </c>
      <c r="C3507" s="1">
        <f>IFERROR(__xludf.DUMMYFUNCTION("""COMPUTED_VALUE"""),171.77)</f>
        <v>171.77</v>
      </c>
      <c r="D3507" s="1">
        <f>IFERROR(__xludf.DUMMYFUNCTION("""COMPUTED_VALUE"""),169.31)</f>
        <v>169.31</v>
      </c>
      <c r="E3507" s="1">
        <f>IFERROR(__xludf.DUMMYFUNCTION("""COMPUTED_VALUE"""),170.46)</f>
        <v>170.46</v>
      </c>
      <c r="F3507" s="1">
        <f>IFERROR(__xludf.DUMMYFUNCTION("""COMPUTED_VALUE"""),73721.0)</f>
        <v>73721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IFERROR(__xludf.DUMMYFUNCTION("""COMPUTED_VALUE"""),171.27)</f>
        <v>171.27</v>
      </c>
      <c r="C3508" s="1">
        <f>IFERROR(__xludf.DUMMYFUNCTION("""COMPUTED_VALUE"""),172.86)</f>
        <v>172.86</v>
      </c>
      <c r="D3508" s="1">
        <f>IFERROR(__xludf.DUMMYFUNCTION("""COMPUTED_VALUE"""),170.0)</f>
        <v>170</v>
      </c>
      <c r="E3508" s="1">
        <f>IFERROR(__xludf.DUMMYFUNCTION("""COMPUTED_VALUE"""),172.52)</f>
        <v>172.52</v>
      </c>
      <c r="F3508" s="1">
        <f>IFERROR(__xludf.DUMMYFUNCTION("""COMPUTED_VALUE"""),50360.0)</f>
        <v>50360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IFERROR(__xludf.DUMMYFUNCTION("""COMPUTED_VALUE"""),172.74)</f>
        <v>172.74</v>
      </c>
      <c r="C3509" s="1">
        <f>IFERROR(__xludf.DUMMYFUNCTION("""COMPUTED_VALUE"""),173.68)</f>
        <v>173.68</v>
      </c>
      <c r="D3509" s="1">
        <f>IFERROR(__xludf.DUMMYFUNCTION("""COMPUTED_VALUE"""),169.99)</f>
        <v>169.99</v>
      </c>
      <c r="E3509" s="1">
        <f>IFERROR(__xludf.DUMMYFUNCTION("""COMPUTED_VALUE"""),170.29)</f>
        <v>170.29</v>
      </c>
      <c r="F3509" s="1">
        <f>IFERROR(__xludf.DUMMYFUNCTION("""COMPUTED_VALUE"""),56877.0)</f>
        <v>56877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IFERROR(__xludf.DUMMYFUNCTION("""COMPUTED_VALUE"""),170.45)</f>
        <v>170.45</v>
      </c>
      <c r="C3510" s="1">
        <f>IFERROR(__xludf.DUMMYFUNCTION("""COMPUTED_VALUE"""),171.61)</f>
        <v>171.61</v>
      </c>
      <c r="D3510" s="1">
        <f>IFERROR(__xludf.DUMMYFUNCTION("""COMPUTED_VALUE"""),170.35)</f>
        <v>170.35</v>
      </c>
      <c r="E3510" s="1">
        <f>IFERROR(__xludf.DUMMYFUNCTION("""COMPUTED_VALUE"""),171.27)</f>
        <v>171.27</v>
      </c>
      <c r="F3510" s="1">
        <f>IFERROR(__xludf.DUMMYFUNCTION("""COMPUTED_VALUE"""),50036.0)</f>
        <v>50036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IFERROR(__xludf.DUMMYFUNCTION("""COMPUTED_VALUE"""),171.35)</f>
        <v>171.35</v>
      </c>
      <c r="C3511" s="1">
        <f>IFERROR(__xludf.DUMMYFUNCTION("""COMPUTED_VALUE"""),171.8)</f>
        <v>171.8</v>
      </c>
      <c r="D3511" s="1">
        <f>IFERROR(__xludf.DUMMYFUNCTION("""COMPUTED_VALUE"""),170.36)</f>
        <v>170.36</v>
      </c>
      <c r="E3511" s="1">
        <f>IFERROR(__xludf.DUMMYFUNCTION("""COMPUTED_VALUE"""),171.72)</f>
        <v>171.72</v>
      </c>
      <c r="F3511" s="1">
        <f>IFERROR(__xludf.DUMMYFUNCTION("""COMPUTED_VALUE"""),64063.0)</f>
        <v>64063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IFERROR(__xludf.DUMMYFUNCTION("""COMPUTED_VALUE"""),171.99)</f>
        <v>171.99</v>
      </c>
      <c r="C3512" s="1">
        <f>IFERROR(__xludf.DUMMYFUNCTION("""COMPUTED_VALUE"""),173.6)</f>
        <v>173.6</v>
      </c>
      <c r="D3512" s="1">
        <f>IFERROR(__xludf.DUMMYFUNCTION("""COMPUTED_VALUE"""),170.83)</f>
        <v>170.83</v>
      </c>
      <c r="E3512" s="1">
        <f>IFERROR(__xludf.DUMMYFUNCTION("""COMPUTED_VALUE"""),173.18)</f>
        <v>173.18</v>
      </c>
      <c r="F3512" s="1">
        <f>IFERROR(__xludf.DUMMYFUNCTION("""COMPUTED_VALUE"""),135927.0)</f>
        <v>135927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IFERROR(__xludf.DUMMYFUNCTION("""COMPUTED_VALUE"""),173.5)</f>
        <v>173.5</v>
      </c>
      <c r="C3513" s="1">
        <f>IFERROR(__xludf.DUMMYFUNCTION("""COMPUTED_VALUE"""),173.67)</f>
        <v>173.67</v>
      </c>
      <c r="D3513" s="1">
        <f>IFERROR(__xludf.DUMMYFUNCTION("""COMPUTED_VALUE"""),169.35)</f>
        <v>169.35</v>
      </c>
      <c r="E3513" s="1">
        <f>IFERROR(__xludf.DUMMYFUNCTION("""COMPUTED_VALUE"""),169.59)</f>
        <v>169.59</v>
      </c>
      <c r="F3513" s="1">
        <f>IFERROR(__xludf.DUMMYFUNCTION("""COMPUTED_VALUE"""),97155.0)</f>
        <v>97155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IFERROR(__xludf.DUMMYFUNCTION("""COMPUTED_VALUE"""),170.66)</f>
        <v>170.66</v>
      </c>
      <c r="C3514" s="1">
        <f>IFERROR(__xludf.DUMMYFUNCTION("""COMPUTED_VALUE"""),170.8)</f>
        <v>170.8</v>
      </c>
      <c r="D3514" s="1">
        <f>IFERROR(__xludf.DUMMYFUNCTION("""COMPUTED_VALUE"""),168.17)</f>
        <v>168.17</v>
      </c>
      <c r="E3514" s="1">
        <f>IFERROR(__xludf.DUMMYFUNCTION("""COMPUTED_VALUE"""),170.26)</f>
        <v>170.26</v>
      </c>
      <c r="F3514" s="1">
        <f>IFERROR(__xludf.DUMMYFUNCTION("""COMPUTED_VALUE"""),260769.0)</f>
        <v>260769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IFERROR(__xludf.DUMMYFUNCTION("""COMPUTED_VALUE"""),169.01)</f>
        <v>169.01</v>
      </c>
      <c r="C3515" s="1">
        <f>IFERROR(__xludf.DUMMYFUNCTION("""COMPUTED_VALUE"""),169.7)</f>
        <v>169.7</v>
      </c>
      <c r="D3515" s="1">
        <f>IFERROR(__xludf.DUMMYFUNCTION("""COMPUTED_VALUE"""),167.42)</f>
        <v>167.42</v>
      </c>
      <c r="E3515" s="1">
        <f>IFERROR(__xludf.DUMMYFUNCTION("""COMPUTED_VALUE"""),168.59)</f>
        <v>168.59</v>
      </c>
      <c r="F3515" s="1">
        <f>IFERROR(__xludf.DUMMYFUNCTION("""COMPUTED_VALUE"""),105252.0)</f>
        <v>105252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IFERROR(__xludf.DUMMYFUNCTION("""COMPUTED_VALUE"""),169.8)</f>
        <v>169.8</v>
      </c>
      <c r="C3516" s="1">
        <f>IFERROR(__xludf.DUMMYFUNCTION("""COMPUTED_VALUE"""),170.63)</f>
        <v>170.63</v>
      </c>
      <c r="D3516" s="1">
        <f>IFERROR(__xludf.DUMMYFUNCTION("""COMPUTED_VALUE"""),168.5)</f>
        <v>168.5</v>
      </c>
      <c r="E3516" s="1">
        <f>IFERROR(__xludf.DUMMYFUNCTION("""COMPUTED_VALUE"""),170.38)</f>
        <v>170.38</v>
      </c>
      <c r="F3516" s="1">
        <f>IFERROR(__xludf.DUMMYFUNCTION("""COMPUTED_VALUE"""),93888.0)</f>
        <v>93888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IFERROR(__xludf.DUMMYFUNCTION("""COMPUTED_VALUE"""),169.56)</f>
        <v>169.56</v>
      </c>
      <c r="C3517" s="1">
        <f>IFERROR(__xludf.DUMMYFUNCTION("""COMPUTED_VALUE"""),170.75)</f>
        <v>170.75</v>
      </c>
      <c r="D3517" s="1">
        <f>IFERROR(__xludf.DUMMYFUNCTION("""COMPUTED_VALUE"""),166.87)</f>
        <v>166.87</v>
      </c>
      <c r="E3517" s="1">
        <f>IFERROR(__xludf.DUMMYFUNCTION("""COMPUTED_VALUE"""),167.03)</f>
        <v>167.03</v>
      </c>
      <c r="F3517" s="1">
        <f>IFERROR(__xludf.DUMMYFUNCTION("""COMPUTED_VALUE"""),96776.0)</f>
        <v>96776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IFERROR(__xludf.DUMMYFUNCTION("""COMPUTED_VALUE"""),167.53)</f>
        <v>167.53</v>
      </c>
      <c r="C3518" s="1">
        <f>IFERROR(__xludf.DUMMYFUNCTION("""COMPUTED_VALUE"""),168.75)</f>
        <v>168.75</v>
      </c>
      <c r="D3518" s="1">
        <f>IFERROR(__xludf.DUMMYFUNCTION("""COMPUTED_VALUE"""),165.52)</f>
        <v>165.52</v>
      </c>
      <c r="E3518" s="1">
        <f>IFERROR(__xludf.DUMMYFUNCTION("""COMPUTED_VALUE"""),166.59)</f>
        <v>166.59</v>
      </c>
      <c r="F3518" s="1">
        <f>IFERROR(__xludf.DUMMYFUNCTION("""COMPUTED_VALUE"""),72908.0)</f>
        <v>72908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IFERROR(__xludf.DUMMYFUNCTION("""COMPUTED_VALUE"""),167.8)</f>
        <v>167.8</v>
      </c>
      <c r="C3519" s="1">
        <f>IFERROR(__xludf.DUMMYFUNCTION("""COMPUTED_VALUE"""),169.3)</f>
        <v>169.3</v>
      </c>
      <c r="D3519" s="1">
        <f>IFERROR(__xludf.DUMMYFUNCTION("""COMPUTED_VALUE"""),167.26)</f>
        <v>167.26</v>
      </c>
      <c r="E3519" s="1">
        <f>IFERROR(__xludf.DUMMYFUNCTION("""COMPUTED_VALUE"""),167.74)</f>
        <v>167.74</v>
      </c>
      <c r="F3519" s="1">
        <f>IFERROR(__xludf.DUMMYFUNCTION("""COMPUTED_VALUE"""),48147.0)</f>
        <v>48147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IFERROR(__xludf.DUMMYFUNCTION("""COMPUTED_VALUE"""),167.96)</f>
        <v>167.96</v>
      </c>
      <c r="C3520" s="1">
        <f>IFERROR(__xludf.DUMMYFUNCTION("""COMPUTED_VALUE"""),169.32)</f>
        <v>169.32</v>
      </c>
      <c r="D3520" s="1">
        <f>IFERROR(__xludf.DUMMYFUNCTION("""COMPUTED_VALUE"""),166.69)</f>
        <v>166.69</v>
      </c>
      <c r="E3520" s="1">
        <f>IFERROR(__xludf.DUMMYFUNCTION("""COMPUTED_VALUE"""),168.38)</f>
        <v>168.38</v>
      </c>
      <c r="F3520" s="1">
        <f>IFERROR(__xludf.DUMMYFUNCTION("""COMPUTED_VALUE"""),61231.0)</f>
        <v>61231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IFERROR(__xludf.DUMMYFUNCTION("""COMPUTED_VALUE"""),168.84)</f>
        <v>168.84</v>
      </c>
      <c r="C3521" s="1">
        <f>IFERROR(__xludf.DUMMYFUNCTION("""COMPUTED_VALUE"""),169.2)</f>
        <v>169.2</v>
      </c>
      <c r="D3521" s="1">
        <f>IFERROR(__xludf.DUMMYFUNCTION("""COMPUTED_VALUE"""),167.33)</f>
        <v>167.33</v>
      </c>
      <c r="E3521" s="1">
        <f>IFERROR(__xludf.DUMMYFUNCTION("""COMPUTED_VALUE"""),167.39)</f>
        <v>167.39</v>
      </c>
      <c r="F3521" s="1">
        <f>IFERROR(__xludf.DUMMYFUNCTION("""COMPUTED_VALUE"""),64520.0)</f>
        <v>64520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IFERROR(__xludf.DUMMYFUNCTION("""COMPUTED_VALUE"""),167.39)</f>
        <v>167.39</v>
      </c>
      <c r="C3522" s="1">
        <f>IFERROR(__xludf.DUMMYFUNCTION("""COMPUTED_VALUE"""),171.04)</f>
        <v>171.04</v>
      </c>
      <c r="D3522" s="1">
        <f>IFERROR(__xludf.DUMMYFUNCTION("""COMPUTED_VALUE"""),167.33)</f>
        <v>167.33</v>
      </c>
      <c r="E3522" s="1">
        <f>IFERROR(__xludf.DUMMYFUNCTION("""COMPUTED_VALUE"""),168.46)</f>
        <v>168.46</v>
      </c>
      <c r="F3522" s="1">
        <f>IFERROR(__xludf.DUMMYFUNCTION("""COMPUTED_VALUE"""),92684.0)</f>
        <v>92684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IFERROR(__xludf.DUMMYFUNCTION("""COMPUTED_VALUE"""),168.46)</f>
        <v>168.46</v>
      </c>
      <c r="C3523" s="1">
        <f>IFERROR(__xludf.DUMMYFUNCTION("""COMPUTED_VALUE"""),168.9)</f>
        <v>168.9</v>
      </c>
      <c r="D3523" s="1">
        <f>IFERROR(__xludf.DUMMYFUNCTION("""COMPUTED_VALUE"""),167.06)</f>
        <v>167.06</v>
      </c>
      <c r="E3523" s="1">
        <f>IFERROR(__xludf.DUMMYFUNCTION("""COMPUTED_VALUE"""),167.14)</f>
        <v>167.14</v>
      </c>
      <c r="F3523" s="1">
        <f>IFERROR(__xludf.DUMMYFUNCTION("""COMPUTED_VALUE"""),51815.0)</f>
        <v>51815</v>
      </c>
    </row>
  </sheetData>
  <drawing r:id="rId1"/>
</worksheet>
</file>